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rince\Desktop\Manuscript revision 2\"/>
    </mc:Choice>
  </mc:AlternateContent>
  <bookViews>
    <workbookView xWindow="-108" yWindow="-108" windowWidth="23256" windowHeight="12576" firstSheet="1" activeTab="4"/>
  </bookViews>
  <sheets>
    <sheet name="Recipes" sheetId="51" r:id="rId1"/>
    <sheet name="Explanation survival sheets" sheetId="43" r:id="rId2"/>
    <sheet name="Fig S1A" sheetId="17" r:id="rId3"/>
    <sheet name="Fig S1B" sheetId="19" r:id="rId4"/>
    <sheet name="Fig S1D" sheetId="29" r:id="rId5"/>
    <sheet name="Fig S2A" sheetId="77" r:id="rId6"/>
    <sheet name="Fig S2B" sheetId="78" r:id="rId7"/>
    <sheet name="Fig S2C" sheetId="47" r:id="rId8"/>
    <sheet name="Fig S3_WB adults AKT YF20" sheetId="67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8" i="67" l="1"/>
  <c r="U58" i="67"/>
  <c r="U56" i="67"/>
  <c r="T56" i="67"/>
  <c r="S56" i="67"/>
  <c r="X55" i="67"/>
  <c r="X56" i="67" s="1"/>
  <c r="W55" i="67"/>
  <c r="W56" i="67" s="1"/>
  <c r="U55" i="67"/>
  <c r="T55" i="67"/>
  <c r="T58" i="67" s="1"/>
  <c r="S55" i="67"/>
  <c r="S58" i="67" s="1"/>
  <c r="R55" i="67"/>
  <c r="R58" i="67" s="1"/>
  <c r="Q55" i="67"/>
  <c r="Q58" i="67" s="1"/>
  <c r="P55" i="67"/>
  <c r="P56" i="67" s="1"/>
  <c r="O55" i="67"/>
  <c r="O56" i="67" s="1"/>
  <c r="N55" i="67"/>
  <c r="N56" i="67" s="1"/>
  <c r="O53" i="67"/>
  <c r="X52" i="67"/>
  <c r="X53" i="67" s="1"/>
  <c r="W52" i="67"/>
  <c r="W53" i="67" s="1"/>
  <c r="U52" i="67"/>
  <c r="T52" i="67"/>
  <c r="S52" i="67"/>
  <c r="S53" i="67" s="1"/>
  <c r="R52" i="67"/>
  <c r="R53" i="67" s="1"/>
  <c r="Q52" i="67"/>
  <c r="P52" i="67"/>
  <c r="O52" i="67"/>
  <c r="N52" i="67"/>
  <c r="Q53" i="67" s="1"/>
  <c r="X51" i="67"/>
  <c r="X50" i="67"/>
  <c r="W50" i="67"/>
  <c r="W51" i="67" s="1"/>
  <c r="U50" i="67"/>
  <c r="U51" i="67" s="1"/>
  <c r="T50" i="67"/>
  <c r="T51" i="67" s="1"/>
  <c r="S50" i="67"/>
  <c r="S51" i="67" s="1"/>
  <c r="R50" i="67"/>
  <c r="R51" i="67" s="1"/>
  <c r="Q50" i="67"/>
  <c r="P50" i="67"/>
  <c r="O50" i="67"/>
  <c r="O51" i="67" s="1"/>
  <c r="N50" i="67"/>
  <c r="Q51" i="67" s="1"/>
  <c r="U57" i="67" l="1"/>
  <c r="P57" i="67"/>
  <c r="O57" i="67"/>
  <c r="N57" i="67"/>
  <c r="W57" i="67"/>
  <c r="X57" i="67"/>
  <c r="T57" i="67"/>
  <c r="S57" i="67"/>
  <c r="Q56" i="67"/>
  <c r="Q57" i="67" s="1"/>
  <c r="N53" i="67"/>
  <c r="R56" i="67"/>
  <c r="R57" i="67" s="1"/>
  <c r="W58" i="67"/>
  <c r="N51" i="67"/>
  <c r="N58" i="67"/>
  <c r="O58" i="67"/>
  <c r="P51" i="67"/>
  <c r="T53" i="67"/>
  <c r="U53" i="67"/>
  <c r="P53" i="67"/>
  <c r="P58" i="67"/>
  <c r="W59" i="67" l="1"/>
  <c r="U59" i="67"/>
  <c r="N59" i="67"/>
  <c r="T59" i="67"/>
  <c r="S59" i="67"/>
  <c r="R59" i="67"/>
  <c r="Q59" i="67"/>
  <c r="P59" i="67"/>
  <c r="O59" i="67"/>
  <c r="X59" i="67"/>
  <c r="Z29" i="17"/>
  <c r="Y29" i="17"/>
  <c r="X29" i="17"/>
  <c r="Z28" i="17"/>
  <c r="Y28" i="17"/>
  <c r="X28" i="17"/>
  <c r="Z26" i="17"/>
  <c r="Y26" i="17"/>
  <c r="X26" i="17"/>
  <c r="Z25" i="17"/>
  <c r="Y25" i="17"/>
  <c r="X25" i="17"/>
  <c r="Z17" i="17"/>
  <c r="Y17" i="17"/>
  <c r="X17" i="17"/>
  <c r="Z16" i="17"/>
  <c r="Y16" i="17"/>
  <c r="X16" i="17"/>
  <c r="U21" i="17"/>
  <c r="T21" i="17"/>
  <c r="S21" i="17"/>
  <c r="U20" i="17"/>
  <c r="T20" i="17"/>
  <c r="S20" i="17"/>
  <c r="U18" i="17"/>
  <c r="T18" i="17"/>
  <c r="S18" i="17"/>
  <c r="U17" i="17"/>
  <c r="T17" i="17"/>
  <c r="S17" i="17"/>
  <c r="U9" i="17"/>
  <c r="T9" i="17"/>
  <c r="S9" i="17"/>
  <c r="U8" i="17"/>
  <c r="T8" i="17"/>
  <c r="S8" i="17"/>
  <c r="P23" i="17"/>
  <c r="O23" i="17"/>
  <c r="N23" i="17"/>
  <c r="P22" i="17"/>
  <c r="O22" i="17"/>
  <c r="N22" i="17"/>
  <c r="P20" i="17"/>
  <c r="O20" i="17"/>
  <c r="N20" i="17"/>
  <c r="P19" i="17"/>
  <c r="O19" i="17"/>
  <c r="N19" i="17"/>
  <c r="P11" i="17"/>
  <c r="O11" i="17"/>
  <c r="N11" i="17"/>
  <c r="P10" i="17"/>
  <c r="O10" i="17"/>
  <c r="N10" i="17"/>
  <c r="K22" i="17"/>
  <c r="J22" i="17"/>
  <c r="I22" i="17"/>
  <c r="K21" i="17"/>
  <c r="J21" i="17"/>
  <c r="I21" i="17"/>
  <c r="K19" i="17"/>
  <c r="J19" i="17"/>
  <c r="I19" i="17"/>
  <c r="K18" i="17"/>
  <c r="J18" i="17"/>
  <c r="I18" i="17"/>
  <c r="K10" i="17"/>
  <c r="J10" i="17"/>
  <c r="I10" i="17"/>
  <c r="K9" i="17"/>
  <c r="J9" i="17"/>
  <c r="I9" i="17"/>
  <c r="M77" i="78"/>
  <c r="L77" i="78"/>
  <c r="K77" i="78"/>
  <c r="J77" i="78"/>
  <c r="I77" i="78"/>
  <c r="H77" i="78"/>
  <c r="G77" i="78"/>
  <c r="F77" i="78"/>
  <c r="E77" i="78"/>
  <c r="D77" i="78"/>
  <c r="M76" i="78"/>
  <c r="L76" i="78"/>
  <c r="K76" i="78"/>
  <c r="J76" i="78"/>
  <c r="I76" i="78"/>
  <c r="H76" i="78"/>
  <c r="G76" i="78"/>
  <c r="F76" i="78"/>
  <c r="E76" i="78"/>
  <c r="D76" i="78"/>
  <c r="M74" i="78"/>
  <c r="L74" i="78"/>
  <c r="K74" i="78"/>
  <c r="J74" i="78"/>
  <c r="I74" i="78"/>
  <c r="H74" i="78"/>
  <c r="G74" i="78"/>
  <c r="F74" i="78"/>
  <c r="E74" i="78"/>
  <c r="D74" i="78"/>
  <c r="M73" i="78"/>
  <c r="L73" i="78"/>
  <c r="K73" i="78"/>
  <c r="J73" i="78"/>
  <c r="I73" i="78"/>
  <c r="H73" i="78"/>
  <c r="G73" i="78"/>
  <c r="F73" i="78"/>
  <c r="E73" i="78"/>
  <c r="D73" i="78"/>
  <c r="M62" i="78"/>
  <c r="L62" i="78"/>
  <c r="K62" i="78"/>
  <c r="J62" i="78"/>
  <c r="I62" i="78"/>
  <c r="H62" i="78"/>
  <c r="G62" i="78"/>
  <c r="F62" i="78"/>
  <c r="E62" i="78"/>
  <c r="D62" i="78"/>
  <c r="M61" i="78"/>
  <c r="L61" i="78"/>
  <c r="K61" i="78"/>
  <c r="J61" i="78"/>
  <c r="I61" i="78"/>
  <c r="H61" i="78"/>
  <c r="G61" i="78"/>
  <c r="F61" i="78"/>
  <c r="E61" i="78"/>
  <c r="E64" i="78" s="1"/>
  <c r="D61" i="78"/>
  <c r="H67" i="77"/>
  <c r="G67" i="77"/>
  <c r="F67" i="77"/>
  <c r="E67" i="77"/>
  <c r="D67" i="77"/>
  <c r="H66" i="77"/>
  <c r="G66" i="77"/>
  <c r="F66" i="77"/>
  <c r="E66" i="77"/>
  <c r="D66" i="77"/>
  <c r="H64" i="77"/>
  <c r="G64" i="77"/>
  <c r="F64" i="77"/>
  <c r="E64" i="77"/>
  <c r="D64" i="77"/>
  <c r="H63" i="77"/>
  <c r="G63" i="77"/>
  <c r="F63" i="77"/>
  <c r="E63" i="77"/>
  <c r="D63" i="77"/>
  <c r="H53" i="77"/>
  <c r="G53" i="77"/>
  <c r="F53" i="77"/>
  <c r="E53" i="77"/>
  <c r="D53" i="77"/>
  <c r="H52" i="77"/>
  <c r="G52" i="77"/>
  <c r="F52" i="77"/>
  <c r="E52" i="77"/>
  <c r="D52" i="77"/>
  <c r="Z18" i="17" l="1"/>
  <c r="X19" i="17"/>
  <c r="X18" i="17"/>
  <c r="Y19" i="17"/>
  <c r="Y18" i="17"/>
  <c r="P12" i="17"/>
  <c r="Z19" i="17"/>
  <c r="T10" i="17"/>
  <c r="S10" i="17"/>
  <c r="U10" i="17"/>
  <c r="S11" i="17"/>
  <c r="T11" i="17"/>
  <c r="K11" i="17"/>
  <c r="U11" i="17"/>
  <c r="O13" i="17"/>
  <c r="P13" i="17"/>
  <c r="N13" i="17"/>
  <c r="O12" i="17"/>
  <c r="N12" i="17"/>
  <c r="J11" i="17"/>
  <c r="K12" i="17"/>
  <c r="I12" i="17"/>
  <c r="J12" i="17"/>
  <c r="I11" i="17"/>
  <c r="F63" i="78"/>
  <c r="L63" i="78"/>
  <c r="M64" i="78"/>
  <c r="J64" i="78"/>
  <c r="G64" i="78"/>
  <c r="I64" i="78"/>
  <c r="F64" i="78"/>
  <c r="E63" i="78"/>
  <c r="M63" i="78"/>
  <c r="L64" i="78"/>
  <c r="I63" i="78"/>
  <c r="J63" i="78"/>
  <c r="D63" i="78"/>
  <c r="K63" i="78"/>
  <c r="H64" i="78"/>
  <c r="D64" i="78"/>
  <c r="K64" i="78"/>
  <c r="H63" i="78"/>
  <c r="G63" i="78"/>
  <c r="F54" i="77"/>
  <c r="G54" i="77"/>
  <c r="D54" i="77"/>
  <c r="E55" i="77"/>
  <c r="H55" i="77"/>
  <c r="F55" i="77"/>
  <c r="D55" i="77"/>
  <c r="G55" i="77"/>
  <c r="H54" i="77"/>
  <c r="E54" i="77"/>
  <c r="K33" i="19" l="1"/>
  <c r="J33" i="19"/>
  <c r="K32" i="19"/>
  <c r="J32" i="19"/>
  <c r="I32" i="19"/>
  <c r="K30" i="19"/>
  <c r="J30" i="19"/>
  <c r="I30" i="19"/>
  <c r="K29" i="19"/>
  <c r="J29" i="19"/>
  <c r="I29" i="19"/>
  <c r="K21" i="19"/>
  <c r="J21" i="19"/>
  <c r="K20" i="19"/>
  <c r="K23" i="19" s="1"/>
  <c r="J20" i="19"/>
  <c r="I8" i="19"/>
  <c r="I20" i="19" s="1"/>
  <c r="I21" i="19" l="1"/>
  <c r="I33" i="19"/>
  <c r="J23" i="19"/>
  <c r="I23" i="19"/>
  <c r="I22" i="19"/>
  <c r="J22" i="19"/>
  <c r="K22" i="19"/>
  <c r="I40" i="67" l="1"/>
  <c r="J40" i="67"/>
  <c r="XFD38" i="67" l="1"/>
  <c r="AV15" i="67"/>
  <c r="N15" i="67"/>
  <c r="F15" i="67"/>
  <c r="E15" i="67"/>
  <c r="AV13" i="67"/>
  <c r="AU13" i="67"/>
  <c r="AU14" i="67" s="1"/>
  <c r="N13" i="67"/>
  <c r="AX12" i="67"/>
  <c r="AX13" i="67" s="1"/>
  <c r="AW12" i="67"/>
  <c r="AW13" i="67" s="1"/>
  <c r="AU12" i="67"/>
  <c r="AU15" i="67" s="1"/>
  <c r="AT12" i="67"/>
  <c r="AT15" i="67" s="1"/>
  <c r="AS12" i="67"/>
  <c r="AS15" i="67" s="1"/>
  <c r="AP12" i="67"/>
  <c r="AP15" i="67" s="1"/>
  <c r="AO12" i="67"/>
  <c r="AO15" i="67" s="1"/>
  <c r="AN12" i="67"/>
  <c r="AN15" i="67" s="1"/>
  <c r="AM12" i="67"/>
  <c r="AM13" i="67" s="1"/>
  <c r="P12" i="67"/>
  <c r="P13" i="67" s="1"/>
  <c r="P14" i="67" s="1"/>
  <c r="O12" i="67"/>
  <c r="O15" i="67" s="1"/>
  <c r="M12" i="67"/>
  <c r="M13" i="67" s="1"/>
  <c r="L12" i="67"/>
  <c r="L15" i="67" s="1"/>
  <c r="K12" i="67"/>
  <c r="K15" i="67" s="1"/>
  <c r="H12" i="67"/>
  <c r="H15" i="67" s="1"/>
  <c r="F12" i="67"/>
  <c r="F13" i="67" s="1"/>
  <c r="E12" i="67"/>
  <c r="E13" i="67" s="1"/>
  <c r="AV10" i="67"/>
  <c r="AU10" i="67"/>
  <c r="AT10" i="67"/>
  <c r="AX9" i="67"/>
  <c r="AW9" i="67"/>
  <c r="AV9" i="67"/>
  <c r="AU9" i="67"/>
  <c r="AT9" i="67"/>
  <c r="AS9" i="67"/>
  <c r="AS10" i="67" s="1"/>
  <c r="AP9" i="67"/>
  <c r="AP10" i="67" s="1"/>
  <c r="AO9" i="67"/>
  <c r="AO10" i="67" s="1"/>
  <c r="AN9" i="67"/>
  <c r="AN10" i="67" s="1"/>
  <c r="AM9" i="67"/>
  <c r="AM10" i="67" s="1"/>
  <c r="AD9" i="67"/>
  <c r="AB9" i="67"/>
  <c r="AA9" i="67"/>
  <c r="Z9" i="67"/>
  <c r="Y9" i="67"/>
  <c r="X9" i="67"/>
  <c r="V9" i="67"/>
  <c r="P9" i="67"/>
  <c r="O9" i="67"/>
  <c r="O10" i="67" s="1"/>
  <c r="N9" i="67"/>
  <c r="N10" i="67" s="1"/>
  <c r="M9" i="67"/>
  <c r="M10" i="67" s="1"/>
  <c r="L9" i="67"/>
  <c r="L10" i="67" s="1"/>
  <c r="K9" i="67"/>
  <c r="H9" i="67"/>
  <c r="F9" i="67"/>
  <c r="E9" i="67"/>
  <c r="AX7" i="67"/>
  <c r="AW7" i="67"/>
  <c r="AV7" i="67"/>
  <c r="AV8" i="67" s="1"/>
  <c r="AU7" i="67"/>
  <c r="AU8" i="67" s="1"/>
  <c r="AT7" i="67"/>
  <c r="AT8" i="67" s="1"/>
  <c r="AS7" i="67"/>
  <c r="AP7" i="67"/>
  <c r="AP8" i="67" s="1"/>
  <c r="AO7" i="67"/>
  <c r="AO8" i="67" s="1"/>
  <c r="AN7" i="67"/>
  <c r="AM7" i="67"/>
  <c r="AD7" i="67"/>
  <c r="AB7" i="67"/>
  <c r="AA7" i="67"/>
  <c r="Z7" i="67"/>
  <c r="Y7" i="67"/>
  <c r="X7" i="67"/>
  <c r="V7" i="67"/>
  <c r="P7" i="67"/>
  <c r="O7" i="67"/>
  <c r="N7" i="67"/>
  <c r="K8" i="67" s="1"/>
  <c r="M7" i="67"/>
  <c r="L7" i="67"/>
  <c r="K7" i="67"/>
  <c r="H7" i="67"/>
  <c r="F7" i="67"/>
  <c r="E7" i="67"/>
  <c r="H13" i="67" l="1"/>
  <c r="F10" i="67"/>
  <c r="AX10" i="67"/>
  <c r="K13" i="67"/>
  <c r="K14" i="67" s="1"/>
  <c r="H10" i="67"/>
  <c r="M8" i="67"/>
  <c r="AN8" i="67"/>
  <c r="K10" i="67"/>
  <c r="AM14" i="67"/>
  <c r="AO13" i="67"/>
  <c r="AO14" i="67" s="1"/>
  <c r="G37" i="67" s="1"/>
  <c r="AW8" i="67"/>
  <c r="P10" i="67"/>
  <c r="AP13" i="67"/>
  <c r="AP14" i="67" s="1"/>
  <c r="O8" i="67"/>
  <c r="F8" i="67"/>
  <c r="AT13" i="67"/>
  <c r="AT14" i="67"/>
  <c r="M15" i="67"/>
  <c r="M16" i="67" s="1"/>
  <c r="F16" i="67"/>
  <c r="O13" i="67"/>
  <c r="O14" i="67" s="1"/>
  <c r="O37" i="67" s="1"/>
  <c r="AN16" i="67"/>
  <c r="AN13" i="67"/>
  <c r="AN14" i="67" s="1"/>
  <c r="AX8" i="67"/>
  <c r="E14" i="67"/>
  <c r="E37" i="67" s="1"/>
  <c r="H8" i="67"/>
  <c r="H16" i="67"/>
  <c r="AM8" i="67"/>
  <c r="E10" i="67"/>
  <c r="AW10" i="67"/>
  <c r="AW14" i="67"/>
  <c r="AV14" i="67"/>
  <c r="L13" i="67"/>
  <c r="L14" i="67" s="1"/>
  <c r="L37" i="67" s="1"/>
  <c r="K16" i="67"/>
  <c r="AS8" i="67"/>
  <c r="F14" i="67"/>
  <c r="AO16" i="67"/>
  <c r="N8" i="67"/>
  <c r="AS13" i="67"/>
  <c r="AS14" i="67" s="1"/>
  <c r="H14" i="67"/>
  <c r="H37" i="67" s="1"/>
  <c r="AX14" i="67"/>
  <c r="L16" i="67"/>
  <c r="AP16" i="67"/>
  <c r="P15" i="67"/>
  <c r="P16" i="67" s="1"/>
  <c r="AM15" i="67"/>
  <c r="AW15" i="67"/>
  <c r="AW16" i="67" s="1"/>
  <c r="N16" i="67"/>
  <c r="AT16" i="67"/>
  <c r="L8" i="67"/>
  <c r="AS16" i="67"/>
  <c r="P8" i="67"/>
  <c r="M14" i="67"/>
  <c r="M37" i="67" s="1"/>
  <c r="AX15" i="67"/>
  <c r="AX16" i="67" s="1"/>
  <c r="O16" i="67"/>
  <c r="AU16" i="67"/>
  <c r="E8" i="67"/>
  <c r="N14" i="67"/>
  <c r="E16" i="67"/>
  <c r="AV16" i="67"/>
  <c r="AM16" i="67"/>
  <c r="F40" i="67" l="1"/>
  <c r="F38" i="67"/>
  <c r="E40" i="67"/>
  <c r="E38" i="67"/>
  <c r="N37" i="67"/>
  <c r="M38" i="67"/>
  <c r="M39" i="67" s="1"/>
  <c r="M40" i="67"/>
  <c r="N38" i="67"/>
  <c r="N39" i="67" s="1"/>
  <c r="N40" i="67"/>
  <c r="K37" i="67"/>
  <c r="K39" i="67" s="1"/>
  <c r="G39" i="67"/>
  <c r="G40" i="67"/>
  <c r="G38" i="67"/>
  <c r="F37" i="67"/>
  <c r="H38" i="67"/>
  <c r="H40" i="67"/>
  <c r="P40" i="67"/>
  <c r="P38" i="67"/>
  <c r="K38" i="67"/>
  <c r="K40" i="67"/>
  <c r="P37" i="67"/>
  <c r="P39" i="67" s="1"/>
  <c r="O38" i="67"/>
  <c r="O39" i="67" s="1"/>
  <c r="O40" i="67"/>
  <c r="L38" i="67"/>
  <c r="L40" i="67"/>
  <c r="F39" i="67"/>
  <c r="L39" i="67"/>
  <c r="E39" i="67"/>
  <c r="H39" i="67"/>
  <c r="H74" i="47" l="1"/>
  <c r="G74" i="47"/>
  <c r="F74" i="47"/>
  <c r="E74" i="47"/>
  <c r="D74" i="47"/>
  <c r="C74" i="47"/>
  <c r="B74" i="47"/>
  <c r="F33" i="19" l="1"/>
  <c r="F32" i="19"/>
  <c r="F30" i="19"/>
  <c r="E33" i="19"/>
  <c r="E32" i="19"/>
  <c r="E30" i="19"/>
  <c r="D33" i="19"/>
  <c r="D32" i="19"/>
  <c r="F46" i="17" l="1"/>
  <c r="F45" i="17"/>
  <c r="F43" i="17"/>
  <c r="E46" i="17"/>
  <c r="E45" i="17"/>
  <c r="E43" i="17"/>
  <c r="D46" i="17"/>
  <c r="D45" i="17"/>
  <c r="D43" i="17"/>
  <c r="E77" i="29"/>
  <c r="E76" i="29"/>
  <c r="E74" i="29"/>
  <c r="D77" i="29"/>
  <c r="D76" i="29"/>
  <c r="D74" i="29"/>
  <c r="D30" i="19" l="1"/>
  <c r="E20" i="19"/>
  <c r="F20" i="19"/>
  <c r="E21" i="19"/>
  <c r="F21" i="19"/>
  <c r="D21" i="19"/>
  <c r="D20" i="19"/>
  <c r="F34" i="17"/>
  <c r="E33" i="17"/>
  <c r="E34" i="17"/>
  <c r="D33" i="17"/>
  <c r="D34" i="17"/>
  <c r="D35" i="17" s="1"/>
  <c r="D62" i="29"/>
  <c r="E62" i="29"/>
  <c r="H72" i="47"/>
  <c r="G72" i="47"/>
  <c r="F72" i="47"/>
  <c r="E72" i="47"/>
  <c r="D72" i="47"/>
  <c r="C72" i="47"/>
  <c r="B72" i="47"/>
  <c r="H71" i="47"/>
  <c r="G71" i="47"/>
  <c r="F71" i="47"/>
  <c r="E71" i="47"/>
  <c r="D71" i="47"/>
  <c r="C71" i="47"/>
  <c r="B71" i="47"/>
  <c r="H70" i="47"/>
  <c r="G70" i="47"/>
  <c r="F70" i="47"/>
  <c r="E70" i="47"/>
  <c r="D70" i="47"/>
  <c r="C70" i="47"/>
  <c r="B70" i="47"/>
  <c r="E73" i="29"/>
  <c r="D73" i="29"/>
  <c r="E61" i="29"/>
  <c r="D61" i="29"/>
  <c r="D64" i="29"/>
  <c r="F29" i="19"/>
  <c r="E29" i="19"/>
  <c r="D29" i="19"/>
  <c r="F42" i="17"/>
  <c r="E42" i="17"/>
  <c r="D42" i="17"/>
  <c r="F33" i="17"/>
  <c r="E63" i="29" l="1"/>
  <c r="D63" i="29"/>
  <c r="F22" i="19"/>
  <c r="E22" i="19"/>
  <c r="D22" i="19"/>
  <c r="D23" i="19"/>
  <c r="E23" i="19"/>
  <c r="F23" i="19"/>
  <c r="D36" i="17"/>
  <c r="E35" i="17"/>
  <c r="F35" i="17"/>
  <c r="E64" i="29"/>
  <c r="E36" i="17"/>
  <c r="F36" i="17"/>
</calcChain>
</file>

<file path=xl/sharedStrings.xml><?xml version="1.0" encoding="utf-8"?>
<sst xmlns="http://schemas.openxmlformats.org/spreadsheetml/2006/main" count="607" uniqueCount="189">
  <si>
    <t>S</t>
  </si>
  <si>
    <t>D</t>
  </si>
  <si>
    <t>Total</t>
  </si>
  <si>
    <t>%S</t>
  </si>
  <si>
    <t>Control</t>
  </si>
  <si>
    <t>Avg</t>
  </si>
  <si>
    <t>SD</t>
  </si>
  <si>
    <t>Range (+)</t>
  </si>
  <si>
    <t>Range (-)</t>
  </si>
  <si>
    <t>Normalized</t>
  </si>
  <si>
    <t>Nexp</t>
  </si>
  <si>
    <t>R+</t>
  </si>
  <si>
    <t>R-</t>
  </si>
  <si>
    <t>UAS-TRPA1/+</t>
  </si>
  <si>
    <t>Median</t>
  </si>
  <si>
    <t>Experiments</t>
  </si>
  <si>
    <t>Survival sheets</t>
  </si>
  <si>
    <t>Columns A-G</t>
  </si>
  <si>
    <t>Genotype</t>
  </si>
  <si>
    <t>Number of pupae</t>
  </si>
  <si>
    <t>Survivors (S)</t>
  </si>
  <si>
    <t>Dead (D)</t>
  </si>
  <si>
    <t>Total number of larvae tracked</t>
  </si>
  <si>
    <t>Percentage of survivors (%S)</t>
  </si>
  <si>
    <t>S/Total</t>
  </si>
  <si>
    <t>Number of dead larvae</t>
  </si>
  <si>
    <t>(Date of experiment)</t>
  </si>
  <si>
    <t>Experiment number</t>
  </si>
  <si>
    <t>Columns J-...</t>
  </si>
  <si>
    <t>Pooled data</t>
  </si>
  <si>
    <t>Control genotype</t>
  </si>
  <si>
    <t>Genotype of interest</t>
  </si>
  <si>
    <t>Average (Avg)</t>
  </si>
  <si>
    <t>Avg %S</t>
  </si>
  <si>
    <t xml:space="preserve">Avg %S </t>
  </si>
  <si>
    <t>Experiment number column A (1)</t>
  </si>
  <si>
    <t>%S column G of Experiment 1</t>
  </si>
  <si>
    <t>Experiment number column A (2)</t>
  </si>
  <si>
    <t>%S column G of Experiment 2</t>
  </si>
  <si>
    <t>Standard Deviation (SD)</t>
  </si>
  <si>
    <t>SD %S</t>
  </si>
  <si>
    <t>Avg %S  + SD %S</t>
  </si>
  <si>
    <t>Avg %S - SD %S</t>
  </si>
  <si>
    <t>If Range (-)&lt; %S &lt;Range (+)</t>
  </si>
  <si>
    <t>If %S &lt; Range (-) or %S &gt; Range (+)</t>
  </si>
  <si>
    <t>Included in normalized data</t>
  </si>
  <si>
    <t>Total number of survivors (pupae)</t>
  </si>
  <si>
    <t>Total number of dead larvae</t>
  </si>
  <si>
    <t>Standard deviation</t>
  </si>
  <si>
    <t>Number of experiments (96 well-plates)</t>
  </si>
  <si>
    <t>Explanation</t>
  </si>
  <si>
    <t>Excluded of normalized data</t>
  </si>
  <si>
    <t>Not taken into account in the pooled if</t>
  </si>
  <si>
    <t>Npupae</t>
  </si>
  <si>
    <t>Nplates</t>
  </si>
  <si>
    <t>Normal Food (adapted from Indian Edu) (1L)</t>
  </si>
  <si>
    <t>Quantity</t>
  </si>
  <si>
    <t>protein (kcal)</t>
  </si>
  <si>
    <t>carbohydrates (kcal)</t>
  </si>
  <si>
    <t>lipid (kcal)</t>
  </si>
  <si>
    <t>Sucrose (g)</t>
  </si>
  <si>
    <t>Yeast (g)</t>
  </si>
  <si>
    <t>Glucose (g)</t>
  </si>
  <si>
    <t>Agar (g)</t>
  </si>
  <si>
    <t>Water (mL)</t>
  </si>
  <si>
    <t>fill until 1L</t>
  </si>
  <si>
    <t>0.1g/mL Nipagin/EtOH (mL)</t>
  </si>
  <si>
    <t>kcal/L</t>
  </si>
  <si>
    <t>%</t>
  </si>
  <si>
    <t>2:10:1</t>
  </si>
  <si>
    <t>P:C ratio</t>
  </si>
  <si>
    <t>1:6</t>
  </si>
  <si>
    <t>Add at 60°C</t>
  </si>
  <si>
    <t>Yellow cornmeal (g)</t>
  </si>
  <si>
    <t>Soy pepton (g)</t>
  </si>
  <si>
    <t>Malt extract (g)</t>
  </si>
  <si>
    <t>kcal</t>
  </si>
  <si>
    <t>lipids (kcal)</t>
  </si>
  <si>
    <t>Yeast extract (g)</t>
  </si>
  <si>
    <t>3:6:1</t>
  </si>
  <si>
    <t>1:2</t>
  </si>
  <si>
    <t>Sorbitol (g)</t>
  </si>
  <si>
    <t>Arabinose (g)</t>
  </si>
  <si>
    <t>Fructose (g)</t>
  </si>
  <si>
    <t>1:4:1</t>
  </si>
  <si>
    <t>1:4</t>
  </si>
  <si>
    <t>Yeast Autolysate (g)</t>
  </si>
  <si>
    <t>20% Glucose (mL)</t>
  </si>
  <si>
    <t>qsp H20 (mL)</t>
  </si>
  <si>
    <t>sugar (kcal)</t>
  </si>
  <si>
    <t>20:80:1</t>
  </si>
  <si>
    <t>P:C:Li ratio</t>
  </si>
  <si>
    <r>
      <t>P</t>
    </r>
    <r>
      <rPr>
        <sz val="11"/>
        <color indexed="8"/>
        <rFont val="Arial"/>
        <family val="2"/>
      </rPr>
      <t xml:space="preserve"> Protein</t>
    </r>
  </si>
  <si>
    <r>
      <t>C</t>
    </r>
    <r>
      <rPr>
        <sz val="11"/>
        <color indexed="8"/>
        <rFont val="Arial"/>
        <family val="2"/>
      </rPr>
      <t xml:space="preserve"> Carbohydrate</t>
    </r>
  </si>
  <si>
    <r>
      <t>Li</t>
    </r>
    <r>
      <rPr>
        <sz val="11"/>
        <color indexed="8"/>
        <rFont val="Arial"/>
        <family val="2"/>
      </rPr>
      <t xml:space="preserve"> Lipid</t>
    </r>
  </si>
  <si>
    <t>Yeast Food (YF) (1L)</t>
  </si>
  <si>
    <t>Corn Food (CF) (1L)</t>
  </si>
  <si>
    <t>Lipid-reduced food (LR-YF) (1L)</t>
  </si>
  <si>
    <r>
      <t>Total number of larvae tracked &lt;10 (for 20</t>
    </r>
    <r>
      <rPr>
        <b/>
        <sz val="11"/>
        <rFont val="Arial"/>
        <family val="2"/>
      </rPr>
      <t>°</t>
    </r>
    <r>
      <rPr>
        <sz val="11"/>
        <rFont val="Arial"/>
        <family val="2"/>
      </rPr>
      <t>C experiments) or &lt;6 (for 28</t>
    </r>
    <r>
      <rPr>
        <b/>
        <sz val="11"/>
        <rFont val="Arial"/>
        <family val="2"/>
      </rPr>
      <t>°</t>
    </r>
    <r>
      <rPr>
        <sz val="11"/>
        <rFont val="Arial"/>
        <family val="2"/>
      </rPr>
      <t>C experiments)</t>
    </r>
  </si>
  <si>
    <t>Detailed single experiments</t>
  </si>
  <si>
    <t>dIlp2&gt;&gt;TRPA1</t>
  </si>
  <si>
    <t>dIlp2&gt;&gt;Kir2.1</t>
  </si>
  <si>
    <t>dIlp2-Gal4/+</t>
  </si>
  <si>
    <t>UAS-Kir2.1, tub80ts/+</t>
  </si>
  <si>
    <r>
      <t>ΔdIlp</t>
    </r>
    <r>
      <rPr>
        <i/>
        <vertAlign val="superscript"/>
        <sz val="11"/>
        <color rgb="FFFF99CC"/>
        <rFont val="Arial"/>
        <family val="2"/>
      </rPr>
      <t>7</t>
    </r>
  </si>
  <si>
    <r>
      <t>ΔdIlp</t>
    </r>
    <r>
      <rPr>
        <i/>
        <vertAlign val="superscript"/>
        <sz val="11"/>
        <color rgb="FF009999"/>
        <rFont val="Arial"/>
        <family val="2"/>
      </rPr>
      <t>3,7</t>
    </r>
  </si>
  <si>
    <r>
      <t>ΔdIlp</t>
    </r>
    <r>
      <rPr>
        <i/>
        <vertAlign val="superscript"/>
        <sz val="11"/>
        <color rgb="FFCC99FF"/>
        <rFont val="Arial"/>
        <family val="2"/>
      </rPr>
      <t>5,7</t>
    </r>
  </si>
  <si>
    <r>
      <t>ΔdIlp</t>
    </r>
    <r>
      <rPr>
        <i/>
        <vertAlign val="superscript"/>
        <sz val="11"/>
        <color rgb="FF008000"/>
        <rFont val="Arial"/>
        <family val="2"/>
      </rPr>
      <t>2-3,7</t>
    </r>
  </si>
  <si>
    <r>
      <t>ΔdIlp</t>
    </r>
    <r>
      <rPr>
        <i/>
        <vertAlign val="superscript"/>
        <sz val="11"/>
        <color theme="7" tint="-0.249977111117893"/>
        <rFont val="Arial"/>
        <family val="2"/>
      </rPr>
      <t>2-3,5</t>
    </r>
  </si>
  <si>
    <r>
      <t>ΔdIlp</t>
    </r>
    <r>
      <rPr>
        <i/>
        <vertAlign val="superscript"/>
        <sz val="11"/>
        <color rgb="FF00B0F0"/>
        <rFont val="Arial"/>
        <family val="2"/>
      </rPr>
      <t>3</t>
    </r>
  </si>
  <si>
    <r>
      <t>ΔdIlp</t>
    </r>
    <r>
      <rPr>
        <i/>
        <vertAlign val="superscript"/>
        <sz val="11"/>
        <color rgb="FF7030A0"/>
        <rFont val="Arial"/>
        <family val="2"/>
      </rPr>
      <t>5</t>
    </r>
  </si>
  <si>
    <r>
      <t>ΔdIlp</t>
    </r>
    <r>
      <rPr>
        <i/>
        <vertAlign val="superscript"/>
        <sz val="11"/>
        <color rgb="FF3366CC"/>
        <rFont val="Arial"/>
        <family val="2"/>
      </rPr>
      <t>2,7</t>
    </r>
  </si>
  <si>
    <r>
      <t>FOXO</t>
    </r>
    <r>
      <rPr>
        <i/>
        <vertAlign val="superscript"/>
        <sz val="11"/>
        <rFont val="Arial"/>
        <family val="2"/>
      </rPr>
      <t>mCherry</t>
    </r>
  </si>
  <si>
    <r>
      <t>FOXO</t>
    </r>
    <r>
      <rPr>
        <b/>
        <i/>
        <vertAlign val="superscript"/>
        <sz val="11"/>
        <rFont val="Arial"/>
        <family val="2"/>
      </rPr>
      <t>mCherry</t>
    </r>
  </si>
  <si>
    <r>
      <t>ΔdIlp</t>
    </r>
    <r>
      <rPr>
        <b/>
        <i/>
        <vertAlign val="superscript"/>
        <sz val="11"/>
        <color rgb="FF003366"/>
        <rFont val="Arial"/>
        <family val="2"/>
      </rPr>
      <t>2</t>
    </r>
  </si>
  <si>
    <r>
      <t>ΔdIlp</t>
    </r>
    <r>
      <rPr>
        <b/>
        <i/>
        <vertAlign val="superscript"/>
        <sz val="11"/>
        <color rgb="FF00B0F0"/>
        <rFont val="Arial"/>
        <family val="2"/>
      </rPr>
      <t>3</t>
    </r>
  </si>
  <si>
    <r>
      <t>ΔdIlp</t>
    </r>
    <r>
      <rPr>
        <b/>
        <i/>
        <vertAlign val="superscript"/>
        <sz val="11"/>
        <color rgb="FF7030A0"/>
        <rFont val="Arial"/>
        <family val="2"/>
      </rPr>
      <t>5</t>
    </r>
  </si>
  <si>
    <r>
      <t>ΔdIlp</t>
    </r>
    <r>
      <rPr>
        <b/>
        <i/>
        <vertAlign val="superscript"/>
        <sz val="11"/>
        <color rgb="FFFF99CC"/>
        <rFont val="Arial"/>
        <family val="2"/>
      </rPr>
      <t>7</t>
    </r>
  </si>
  <si>
    <r>
      <t>ΔdIlp</t>
    </r>
    <r>
      <rPr>
        <b/>
        <i/>
        <vertAlign val="superscript"/>
        <sz val="11"/>
        <color rgb="FF3366CC"/>
        <rFont val="Arial"/>
        <family val="2"/>
      </rPr>
      <t>2,7</t>
    </r>
  </si>
  <si>
    <r>
      <t>ΔdIlp</t>
    </r>
    <r>
      <rPr>
        <b/>
        <i/>
        <vertAlign val="superscript"/>
        <sz val="11"/>
        <color rgb="FF009999"/>
        <rFont val="Arial"/>
        <family val="2"/>
      </rPr>
      <t>3,7</t>
    </r>
  </si>
  <si>
    <r>
      <t>ΔdIlp</t>
    </r>
    <r>
      <rPr>
        <b/>
        <i/>
        <vertAlign val="superscript"/>
        <sz val="11"/>
        <color rgb="FFCC99FF"/>
        <rFont val="Arial"/>
        <family val="2"/>
      </rPr>
      <t>5,7</t>
    </r>
  </si>
  <si>
    <r>
      <t>ΔdIlp</t>
    </r>
    <r>
      <rPr>
        <b/>
        <i/>
        <vertAlign val="superscript"/>
        <sz val="11"/>
        <color rgb="FF008000"/>
        <rFont val="Arial"/>
        <family val="2"/>
      </rPr>
      <t>2-3,7</t>
    </r>
  </si>
  <si>
    <r>
      <t>ΔdIlp</t>
    </r>
    <r>
      <rPr>
        <b/>
        <i/>
        <vertAlign val="superscript"/>
        <sz val="11"/>
        <color theme="4" tint="0.39994506668294322"/>
        <rFont val="Arial"/>
        <family val="2"/>
      </rPr>
      <t>2-3</t>
    </r>
  </si>
  <si>
    <r>
      <t>ΔdIlp</t>
    </r>
    <r>
      <rPr>
        <b/>
        <i/>
        <vertAlign val="superscript"/>
        <sz val="11"/>
        <color theme="7" tint="-0.249977111117893"/>
        <rFont val="Arial"/>
        <family val="2"/>
      </rPr>
      <t>2-3,5</t>
    </r>
  </si>
  <si>
    <r>
      <t>ΔdIlp</t>
    </r>
    <r>
      <rPr>
        <i/>
        <vertAlign val="superscript"/>
        <sz val="11"/>
        <color rgb="FF003366"/>
        <rFont val="Arial"/>
        <family val="2"/>
      </rPr>
      <t>2</t>
    </r>
  </si>
  <si>
    <r>
      <t>ΔdIlp</t>
    </r>
    <r>
      <rPr>
        <i/>
        <vertAlign val="superscript"/>
        <sz val="11"/>
        <color theme="4" tint="0.39994506668294322"/>
        <rFont val="Arial"/>
        <family val="2"/>
      </rPr>
      <t>2-3</t>
    </r>
  </si>
  <si>
    <r>
      <t>Control (FOXO</t>
    </r>
    <r>
      <rPr>
        <i/>
        <vertAlign val="superscript"/>
        <sz val="11"/>
        <rFont val="Arial"/>
        <family val="2"/>
      </rPr>
      <t>mCherry</t>
    </r>
    <r>
      <rPr>
        <i/>
        <sz val="11"/>
        <rFont val="Arial"/>
        <family val="2"/>
      </rPr>
      <t>)</t>
    </r>
  </si>
  <si>
    <t>T in °C</t>
  </si>
  <si>
    <t>AKT 84kDA</t>
  </si>
  <si>
    <t>sample</t>
  </si>
  <si>
    <t>foxo</t>
  </si>
  <si>
    <t>lgr3</t>
  </si>
  <si>
    <t>lgr4</t>
  </si>
  <si>
    <t>AKT-Thr308</t>
  </si>
  <si>
    <t>AKT-Thr308-2</t>
  </si>
  <si>
    <t>AKT-Thr308-3</t>
  </si>
  <si>
    <t>AKT-Ser505</t>
  </si>
  <si>
    <t>AKT-Ser505-2</t>
  </si>
  <si>
    <t>AKT-Ser505-3</t>
  </si>
  <si>
    <t>panAKT</t>
  </si>
  <si>
    <t>panAKT-2</t>
  </si>
  <si>
    <t>panAKT-3</t>
  </si>
  <si>
    <t>Ratio 308</t>
  </si>
  <si>
    <t>activity in %</t>
  </si>
  <si>
    <t>Ratio 505</t>
  </si>
  <si>
    <t>AKT308-CC</t>
  </si>
  <si>
    <t>AKT308-%</t>
  </si>
  <si>
    <t>AKT505-CC</t>
  </si>
  <si>
    <t>AKT505-%</t>
  </si>
  <si>
    <t>T20 - AKT-Thr308</t>
  </si>
  <si>
    <t>T20 - AKT-Ser505</t>
  </si>
  <si>
    <t>T20 - panAKT</t>
  </si>
  <si>
    <t>T20 - AKT-Thr308-2</t>
  </si>
  <si>
    <t>T20 - AKT-Ser505-2</t>
  </si>
  <si>
    <t>T20 - panAKT-2</t>
  </si>
  <si>
    <t>T20 - AKT-Thr308-3</t>
  </si>
  <si>
    <t>T20 - AKT-Ser505-3</t>
  </si>
  <si>
    <t>T20 - panAKT-3</t>
  </si>
  <si>
    <t>pixelintensity</t>
  </si>
  <si>
    <t>mean</t>
  </si>
  <si>
    <t>max</t>
  </si>
  <si>
    <t>min</t>
  </si>
  <si>
    <t>R(308/505)</t>
  </si>
  <si>
    <t>YF</t>
  </si>
  <si>
    <t>0.000</t>
  </si>
  <si>
    <t>pan</t>
  </si>
  <si>
    <t>AKT 85kDA</t>
  </si>
  <si>
    <t>dIlp2</t>
  </si>
  <si>
    <t>dIlp3</t>
  </si>
  <si>
    <t>dIlp5</t>
  </si>
  <si>
    <t>dIlp7</t>
  </si>
  <si>
    <t>dIlp2,7</t>
  </si>
  <si>
    <t>dIlp3,7</t>
  </si>
  <si>
    <t>dIlp2,3</t>
  </si>
  <si>
    <t>dIlp5,7</t>
  </si>
  <si>
    <t>dIlp2,3,7</t>
  </si>
  <si>
    <t>n-w</t>
  </si>
  <si>
    <r>
      <t xml:space="preserve">Summary </t>
    </r>
    <r>
      <rPr>
        <b/>
        <sz val="11"/>
        <color theme="2" tint="-0.499984740745262"/>
        <rFont val="Arial"/>
        <family val="2"/>
      </rPr>
      <t>20</t>
    </r>
  </si>
  <si>
    <t>Average of the %Ss</t>
  </si>
  <si>
    <t>Average  %S</t>
  </si>
  <si>
    <r>
      <t>20</t>
    </r>
    <r>
      <rPr>
        <b/>
        <sz val="11"/>
        <rFont val="Calibri"/>
        <family val="2"/>
      </rPr>
      <t>˚</t>
    </r>
    <r>
      <rPr>
        <b/>
        <sz val="11"/>
        <rFont val="Arial"/>
        <family val="2"/>
      </rPr>
      <t>C</t>
    </r>
  </si>
  <si>
    <r>
      <t>28</t>
    </r>
    <r>
      <rPr>
        <b/>
        <sz val="11"/>
        <color rgb="FFFF0000"/>
        <rFont val="Calibri"/>
        <family val="2"/>
      </rPr>
      <t>˚</t>
    </r>
    <r>
      <rPr>
        <b/>
        <sz val="11"/>
        <color rgb="FFFF0000"/>
        <rFont val="Arial"/>
        <family val="2"/>
      </rPr>
      <t>C</t>
    </r>
  </si>
  <si>
    <r>
      <t>24h 20</t>
    </r>
    <r>
      <rPr>
        <b/>
        <sz val="11"/>
        <rFont val="Calibri"/>
        <family val="2"/>
      </rPr>
      <t>˚</t>
    </r>
    <r>
      <rPr>
        <b/>
        <sz val="11"/>
        <rFont val="Arial"/>
        <family val="2"/>
      </rPr>
      <t>C--&gt; 28</t>
    </r>
    <r>
      <rPr>
        <b/>
        <sz val="11"/>
        <rFont val="Calibri"/>
        <family val="2"/>
      </rPr>
      <t>˚</t>
    </r>
    <r>
      <rPr>
        <b/>
        <sz val="11"/>
        <rFont val="Arial"/>
        <family val="2"/>
      </rPr>
      <t>C</t>
    </r>
  </si>
  <si>
    <r>
      <t>72h 20</t>
    </r>
    <r>
      <rPr>
        <b/>
        <sz val="11"/>
        <rFont val="Calibri"/>
        <family val="2"/>
      </rPr>
      <t>˚</t>
    </r>
    <r>
      <rPr>
        <b/>
        <sz val="11"/>
        <rFont val="Arial"/>
        <family val="2"/>
      </rPr>
      <t>C--&gt; 28</t>
    </r>
    <r>
      <rPr>
        <b/>
        <sz val="11"/>
        <rFont val="Calibri"/>
        <family val="2"/>
      </rPr>
      <t>˚</t>
    </r>
    <r>
      <rPr>
        <b/>
        <sz val="11"/>
        <rFont val="Arial"/>
        <family val="2"/>
      </rPr>
      <t>C</t>
    </r>
  </si>
  <si>
    <r>
      <t>96h 20</t>
    </r>
    <r>
      <rPr>
        <b/>
        <sz val="11"/>
        <rFont val="Calibri"/>
        <family val="2"/>
      </rPr>
      <t>˚</t>
    </r>
    <r>
      <rPr>
        <b/>
        <sz val="11"/>
        <rFont val="Arial"/>
        <family val="2"/>
      </rPr>
      <t>C--&gt; 28</t>
    </r>
    <r>
      <rPr>
        <b/>
        <sz val="11"/>
        <rFont val="Calibri"/>
        <family val="2"/>
      </rPr>
      <t>˚</t>
    </r>
    <r>
      <rPr>
        <b/>
        <sz val="11"/>
        <rFont val="Arial"/>
        <family val="2"/>
      </rPr>
      <t>C</t>
    </r>
  </si>
  <si>
    <r>
      <t>28</t>
    </r>
    <r>
      <rPr>
        <b/>
        <sz val="11"/>
        <rFont val="Calibri"/>
        <family val="2"/>
      </rPr>
      <t>˚</t>
    </r>
    <r>
      <rPr>
        <b/>
        <sz val="11"/>
        <rFont val="Arial"/>
        <family val="2"/>
      </rPr>
      <t>C</t>
    </r>
  </si>
  <si>
    <r>
      <t>ΔdIlp</t>
    </r>
    <r>
      <rPr>
        <i/>
        <vertAlign val="superscript"/>
        <sz val="11"/>
        <color rgb="FFFF6600"/>
        <rFont val="Arial"/>
        <family val="2"/>
      </rPr>
      <t>3,7</t>
    </r>
  </si>
  <si>
    <r>
      <t>ΔdIlp</t>
    </r>
    <r>
      <rPr>
        <i/>
        <vertAlign val="superscript"/>
        <sz val="11"/>
        <color rgb="FF009999"/>
        <rFont val="Arial"/>
        <family val="2"/>
      </rPr>
      <t>5</t>
    </r>
  </si>
  <si>
    <r>
      <t>ΔdIlp</t>
    </r>
    <r>
      <rPr>
        <i/>
        <vertAlign val="superscript"/>
        <sz val="11"/>
        <color rgb="FF9966FF"/>
        <rFont val="Arial"/>
        <family val="2"/>
      </rPr>
      <t>5,7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</si>
</sst>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0"/>
  </numFmts>
  <fonts count="11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sz val="11"/>
      <color indexed="45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sz val="11"/>
      <color indexed="57"/>
      <name val="Arial"/>
      <family val="2"/>
    </font>
    <font>
      <i/>
      <sz val="11"/>
      <color indexed="17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i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11"/>
      <color indexed="14"/>
      <name val="Arial"/>
      <family val="2"/>
    </font>
    <font>
      <b/>
      <i/>
      <sz val="11"/>
      <color indexed="63"/>
      <name val="Arial"/>
      <family val="2"/>
    </font>
    <font>
      <b/>
      <sz val="11"/>
      <color indexed="63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i/>
      <vertAlign val="superscript"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vertAlign val="sub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17"/>
      <name val="Arial"/>
      <family val="2"/>
    </font>
    <font>
      <sz val="12"/>
      <color indexed="63"/>
      <name val="Arial"/>
      <family val="2"/>
    </font>
    <font>
      <sz val="11"/>
      <color rgb="FF002060"/>
      <name val="Arial"/>
      <family val="2"/>
    </font>
    <font>
      <b/>
      <i/>
      <sz val="11"/>
      <color rgb="FF002060"/>
      <name val="Arial"/>
      <family val="2"/>
    </font>
    <font>
      <i/>
      <sz val="11"/>
      <color rgb="FF002060"/>
      <name val="Arial"/>
      <family val="2"/>
    </font>
    <font>
      <b/>
      <sz val="11"/>
      <color rgb="FF002060"/>
      <name val="Arial"/>
      <family val="2"/>
    </font>
    <font>
      <sz val="11"/>
      <color theme="2" tint="-0.249977111117893"/>
      <name val="Arial"/>
      <family val="2"/>
    </font>
    <font>
      <i/>
      <sz val="11"/>
      <color rgb="FF009999"/>
      <name val="Arial"/>
      <family val="2"/>
    </font>
    <font>
      <i/>
      <vertAlign val="superscript"/>
      <sz val="11"/>
      <color rgb="FF003366"/>
      <name val="Arial"/>
      <family val="2"/>
    </font>
    <font>
      <i/>
      <sz val="11"/>
      <color rgb="FF7030A0"/>
      <name val="Arial"/>
      <family val="2"/>
    </font>
    <font>
      <i/>
      <sz val="11"/>
      <color theme="4" tint="0.39997558519241921"/>
      <name val="Arial"/>
      <family val="2"/>
    </font>
    <font>
      <sz val="11"/>
      <color theme="4" tint="0.39997558519241921"/>
      <name val="Arial"/>
      <family val="2"/>
    </font>
    <font>
      <i/>
      <sz val="11"/>
      <color rgb="FFFF99CC"/>
      <name val="Arial"/>
      <family val="2"/>
    </font>
    <font>
      <b/>
      <i/>
      <sz val="11"/>
      <color theme="4" tint="0.39997558519241921"/>
      <name val="Arial"/>
      <family val="2"/>
    </font>
    <font>
      <b/>
      <sz val="11"/>
      <color theme="4" tint="0.39997558519241921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sz val="11"/>
      <color rgb="FF7030A0"/>
      <name val="Arial"/>
      <family val="2"/>
    </font>
    <font>
      <sz val="11"/>
      <color theme="1"/>
      <name val="Arial"/>
      <family val="2"/>
    </font>
    <font>
      <sz val="11"/>
      <color rgb="FF00B0F0"/>
      <name val="Arial"/>
      <family val="2"/>
    </font>
    <font>
      <sz val="11"/>
      <color rgb="FFFF99CC"/>
      <name val="Arial"/>
      <family val="2"/>
    </font>
    <font>
      <sz val="11"/>
      <color rgb="FF009999"/>
      <name val="Arial"/>
      <family val="2"/>
    </font>
    <font>
      <sz val="11"/>
      <color rgb="FFCC99FF"/>
      <name val="Arial"/>
      <family val="2"/>
    </font>
    <font>
      <b/>
      <sz val="11"/>
      <color theme="1"/>
      <name val="Arial"/>
      <family val="2"/>
    </font>
    <font>
      <b/>
      <sz val="11"/>
      <color rgb="FF00B0F0"/>
      <name val="Arial"/>
      <family val="2"/>
    </font>
    <font>
      <b/>
      <sz val="11"/>
      <color rgb="FFFF99CC"/>
      <name val="Arial"/>
      <family val="2"/>
    </font>
    <font>
      <b/>
      <sz val="11"/>
      <color rgb="FF009999"/>
      <name val="Arial"/>
      <family val="2"/>
    </font>
    <font>
      <b/>
      <sz val="11"/>
      <color rgb="FFCC99FF"/>
      <name val="Arial"/>
      <family val="2"/>
    </font>
    <font>
      <b/>
      <i/>
      <sz val="11"/>
      <color rgb="FF00B0F0"/>
      <name val="Arial"/>
      <family val="2"/>
    </font>
    <font>
      <b/>
      <i/>
      <sz val="11"/>
      <color rgb="FFFF99CC"/>
      <name val="Arial"/>
      <family val="2"/>
    </font>
    <font>
      <b/>
      <i/>
      <sz val="11"/>
      <color rgb="FF009999"/>
      <name val="Arial"/>
      <family val="2"/>
    </font>
    <font>
      <b/>
      <i/>
      <sz val="11"/>
      <color rgb="FFCC99FF"/>
      <name val="Arial"/>
      <family val="2"/>
    </font>
    <font>
      <i/>
      <sz val="11"/>
      <color rgb="FF00B0F0"/>
      <name val="Arial"/>
      <family val="2"/>
    </font>
    <font>
      <i/>
      <sz val="11"/>
      <color rgb="FFCC99FF"/>
      <name val="Arial"/>
      <family val="2"/>
    </font>
    <font>
      <b/>
      <sz val="11"/>
      <color rgb="FFFF0000"/>
      <name val="Arial"/>
      <family val="2"/>
    </font>
    <font>
      <i/>
      <vertAlign val="superscript"/>
      <sz val="11"/>
      <color rgb="FFFF99CC"/>
      <name val="Arial"/>
      <family val="2"/>
    </font>
    <font>
      <i/>
      <vertAlign val="superscript"/>
      <sz val="11"/>
      <color rgb="FF009999"/>
      <name val="Arial"/>
      <family val="2"/>
    </font>
    <font>
      <i/>
      <vertAlign val="superscript"/>
      <sz val="11"/>
      <color rgb="FFCC99FF"/>
      <name val="Arial"/>
      <family val="2"/>
    </font>
    <font>
      <i/>
      <vertAlign val="superscript"/>
      <sz val="11"/>
      <color rgb="FF008000"/>
      <name val="Arial"/>
      <family val="2"/>
    </font>
    <font>
      <i/>
      <sz val="11"/>
      <color theme="7" tint="-0.249977111117893"/>
      <name val="Arial"/>
      <family val="2"/>
    </font>
    <font>
      <i/>
      <vertAlign val="superscript"/>
      <sz val="11"/>
      <color theme="7" tint="-0.249977111117893"/>
      <name val="Arial"/>
      <family val="2"/>
    </font>
    <font>
      <i/>
      <vertAlign val="superscript"/>
      <sz val="11"/>
      <color rgb="FF00B0F0"/>
      <name val="Arial"/>
      <family val="2"/>
    </font>
    <font>
      <i/>
      <vertAlign val="superscript"/>
      <sz val="11"/>
      <color rgb="FF7030A0"/>
      <name val="Arial"/>
      <family val="2"/>
    </font>
    <font>
      <i/>
      <sz val="11"/>
      <color rgb="FF3366CC"/>
      <name val="Arial"/>
      <family val="2"/>
    </font>
    <font>
      <i/>
      <vertAlign val="superscript"/>
      <sz val="11"/>
      <color rgb="FF3366CC"/>
      <name val="Arial"/>
      <family val="2"/>
    </font>
    <font>
      <sz val="11"/>
      <color theme="7" tint="-0.249977111117893"/>
      <name val="Arial"/>
      <family val="2"/>
    </font>
    <font>
      <sz val="11"/>
      <color rgb="FF3366CC"/>
      <name val="Arial"/>
      <family val="2"/>
    </font>
    <font>
      <b/>
      <i/>
      <sz val="11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i/>
      <sz val="11"/>
      <color rgb="FF003366"/>
      <name val="Arial"/>
      <family val="2"/>
    </font>
    <font>
      <sz val="11"/>
      <color rgb="FF003366"/>
      <name val="Arial"/>
      <family val="2"/>
    </font>
    <font>
      <b/>
      <i/>
      <sz val="11"/>
      <color rgb="FF003366"/>
      <name val="Arial"/>
      <family val="2"/>
    </font>
    <font>
      <b/>
      <sz val="11"/>
      <color rgb="FF003366"/>
      <name val="Arial"/>
      <family val="2"/>
    </font>
    <font>
      <b/>
      <i/>
      <sz val="11"/>
      <color rgb="FF3366CC"/>
      <name val="Arial"/>
      <family val="2"/>
    </font>
    <font>
      <b/>
      <sz val="11"/>
      <color rgb="FF3366CC"/>
      <name val="Arial"/>
      <family val="2"/>
    </font>
    <font>
      <sz val="11"/>
      <color rgb="FF008000"/>
      <name val="Arial"/>
      <family val="2"/>
    </font>
    <font>
      <i/>
      <sz val="11"/>
      <color rgb="FF008000"/>
      <name val="Arial"/>
      <family val="2"/>
    </font>
    <font>
      <b/>
      <i/>
      <sz val="11"/>
      <color rgb="FF008000"/>
      <name val="Arial"/>
      <family val="2"/>
    </font>
    <font>
      <b/>
      <sz val="11"/>
      <color rgb="FF008000"/>
      <name val="Arial"/>
      <family val="2"/>
    </font>
    <font>
      <b/>
      <i/>
      <vertAlign val="superscript"/>
      <sz val="11"/>
      <color rgb="FF003366"/>
      <name val="Arial"/>
      <family val="2"/>
    </font>
    <font>
      <b/>
      <i/>
      <vertAlign val="superscript"/>
      <sz val="11"/>
      <color rgb="FF00B0F0"/>
      <name val="Arial"/>
      <family val="2"/>
    </font>
    <font>
      <b/>
      <i/>
      <vertAlign val="superscript"/>
      <sz val="11"/>
      <color rgb="FF7030A0"/>
      <name val="Arial"/>
      <family val="2"/>
    </font>
    <font>
      <b/>
      <i/>
      <vertAlign val="superscript"/>
      <sz val="11"/>
      <color rgb="FFFF99CC"/>
      <name val="Arial"/>
      <family val="2"/>
    </font>
    <font>
      <b/>
      <i/>
      <vertAlign val="superscript"/>
      <sz val="11"/>
      <color theme="4" tint="0.39994506668294322"/>
      <name val="Arial"/>
      <family val="2"/>
    </font>
    <font>
      <b/>
      <i/>
      <vertAlign val="superscript"/>
      <sz val="11"/>
      <color rgb="FF3366CC"/>
      <name val="Arial"/>
      <family val="2"/>
    </font>
    <font>
      <b/>
      <i/>
      <vertAlign val="superscript"/>
      <sz val="11"/>
      <color rgb="FF009999"/>
      <name val="Arial"/>
      <family val="2"/>
    </font>
    <font>
      <b/>
      <i/>
      <vertAlign val="superscript"/>
      <sz val="11"/>
      <color rgb="FFCC99FF"/>
      <name val="Arial"/>
      <family val="2"/>
    </font>
    <font>
      <b/>
      <i/>
      <vertAlign val="superscript"/>
      <sz val="11"/>
      <color rgb="FF008000"/>
      <name val="Arial"/>
      <family val="2"/>
    </font>
    <font>
      <b/>
      <i/>
      <vertAlign val="superscript"/>
      <sz val="11"/>
      <color theme="7" tint="-0.249977111117893"/>
      <name val="Arial"/>
      <family val="2"/>
    </font>
    <font>
      <i/>
      <vertAlign val="superscript"/>
      <sz val="11"/>
      <color theme="4" tint="0.39994506668294322"/>
      <name val="Arial"/>
      <family val="2"/>
    </font>
    <font>
      <sz val="11"/>
      <color theme="2" tint="-0.499984740745262"/>
      <name val="Arial"/>
      <family val="2"/>
    </font>
    <font>
      <i/>
      <sz val="11"/>
      <color rgb="FF9966FF"/>
      <name val="Arial"/>
      <family val="2"/>
    </font>
    <font>
      <b/>
      <sz val="11"/>
      <color theme="2" tint="-0.499984740745262"/>
      <name val="Arial"/>
      <family val="2"/>
    </font>
    <font>
      <sz val="11"/>
      <color rgb="FF9966FF"/>
      <name val="Arial"/>
      <family val="2"/>
    </font>
    <font>
      <b/>
      <sz val="11"/>
      <color rgb="FF9966FF"/>
      <name val="Arial"/>
      <family val="2"/>
    </font>
    <font>
      <b/>
      <sz val="11"/>
      <color theme="2" tint="-0.249977111117893"/>
      <name val="Arial"/>
      <family val="2"/>
    </font>
    <font>
      <b/>
      <sz val="11"/>
      <color rgb="FFFF00FF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Calibri"/>
      <family val="2"/>
    </font>
    <font>
      <i/>
      <sz val="11"/>
      <color rgb="FFFF6600"/>
      <name val="Arial"/>
      <family val="2"/>
    </font>
    <font>
      <i/>
      <vertAlign val="superscript"/>
      <sz val="11"/>
      <color rgb="FFFF6600"/>
      <name val="Arial"/>
      <family val="2"/>
    </font>
    <font>
      <sz val="11"/>
      <color rgb="FFFF6600"/>
      <name val="Arial"/>
      <family val="2"/>
    </font>
    <font>
      <b/>
      <sz val="11"/>
      <color rgb="FFFF6600"/>
      <name val="Arial"/>
      <family val="2"/>
    </font>
    <font>
      <i/>
      <vertAlign val="superscript"/>
      <sz val="11"/>
      <color rgb="FF9966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1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4" fillId="0" borderId="0" xfId="0" applyFont="1"/>
    <xf numFmtId="165" fontId="24" fillId="0" borderId="0" xfId="0" applyNumberFormat="1" applyFont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3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9" fontId="8" fillId="0" borderId="0" xfId="1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9" fontId="8" fillId="0" borderId="6" xfId="1" applyNumberFormat="1" applyFont="1" applyFill="1" applyBorder="1" applyAlignment="1">
      <alignment horizontal="center"/>
    </xf>
    <xf numFmtId="0" fontId="26" fillId="0" borderId="1" xfId="1" applyNumberFormat="1" applyFont="1" applyFill="1" applyBorder="1" applyAlignment="1">
      <alignment horizontal="center"/>
    </xf>
    <xf numFmtId="0" fontId="26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9" fontId="8" fillId="0" borderId="0" xfId="1" applyFont="1" applyFill="1" applyBorder="1" applyAlignment="1">
      <alignment horizontal="center"/>
    </xf>
    <xf numFmtId="9" fontId="8" fillId="0" borderId="7" xfId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9" fontId="8" fillId="0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11" fillId="0" borderId="8" xfId="0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9" fontId="28" fillId="0" borderId="9" xfId="1" applyNumberFormat="1" applyFont="1" applyFill="1" applyBorder="1" applyAlignment="1">
      <alignment horizontal="center" vertical="center"/>
    </xf>
    <xf numFmtId="9" fontId="28" fillId="0" borderId="10" xfId="1" applyNumberFormat="1" applyFont="1" applyFill="1" applyBorder="1" applyAlignment="1">
      <alignment horizontal="center" vertical="center"/>
    </xf>
    <xf numFmtId="9" fontId="28" fillId="0" borderId="12" xfId="1" applyNumberFormat="1" applyFont="1" applyFill="1" applyBorder="1" applyAlignment="1">
      <alignment horizontal="center"/>
    </xf>
    <xf numFmtId="9" fontId="28" fillId="0" borderId="12" xfId="0" applyNumberFormat="1" applyFont="1" applyFill="1" applyBorder="1" applyAlignment="1">
      <alignment horizontal="center"/>
    </xf>
    <xf numFmtId="9" fontId="28" fillId="0" borderId="13" xfId="1" applyNumberFormat="1" applyFont="1" applyFill="1" applyBorder="1" applyAlignment="1">
      <alignment horizontal="center"/>
    </xf>
    <xf numFmtId="9" fontId="28" fillId="0" borderId="14" xfId="1" applyFont="1" applyFill="1" applyBorder="1" applyAlignment="1">
      <alignment horizontal="center"/>
    </xf>
    <xf numFmtId="9" fontId="28" fillId="0" borderId="9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9" fontId="28" fillId="0" borderId="9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3" borderId="0" xfId="0" applyFont="1" applyFill="1"/>
    <xf numFmtId="164" fontId="10" fillId="0" borderId="0" xfId="0" applyNumberFormat="1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164" fontId="14" fillId="3" borderId="1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31" fillId="0" borderId="0" xfId="0" applyFont="1"/>
    <xf numFmtId="0" fontId="10" fillId="0" borderId="0" xfId="0" applyFont="1" applyFill="1" applyAlignment="1">
      <alignment horizontal="center" vertical="center"/>
    </xf>
    <xf numFmtId="0" fontId="30" fillId="0" borderId="0" xfId="0" applyFont="1"/>
    <xf numFmtId="164" fontId="10" fillId="2" borderId="1" xfId="1" applyNumberFormat="1" applyFont="1" applyFill="1" applyBorder="1" applyAlignment="1">
      <alignment horizontal="center" vertical="center"/>
    </xf>
    <xf numFmtId="10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14" fillId="2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3" fillId="0" borderId="1" xfId="0" applyFont="1" applyBorder="1"/>
    <xf numFmtId="0" fontId="33" fillId="0" borderId="0" xfId="0" applyFont="1"/>
    <xf numFmtId="0" fontId="36" fillId="0" borderId="1" xfId="0" applyFont="1" applyBorder="1" applyAlignment="1">
      <alignment horizontal="center" vertical="center"/>
    </xf>
    <xf numFmtId="164" fontId="36" fillId="0" borderId="1" xfId="1" applyNumberFormat="1" applyFont="1" applyBorder="1" applyAlignment="1">
      <alignment horizontal="center" vertical="center"/>
    </xf>
    <xf numFmtId="164" fontId="42" fillId="0" borderId="1" xfId="1" applyNumberFormat="1" applyFont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42" fillId="0" borderId="1" xfId="0" applyFont="1" applyBorder="1"/>
    <xf numFmtId="164" fontId="42" fillId="3" borderId="1" xfId="1" applyNumberFormat="1" applyFont="1" applyFill="1" applyBorder="1" applyAlignment="1">
      <alignment horizontal="center"/>
    </xf>
    <xf numFmtId="0" fontId="42" fillId="0" borderId="0" xfId="0" applyFont="1"/>
    <xf numFmtId="164" fontId="42" fillId="0" borderId="0" xfId="0" applyNumberFormat="1" applyFont="1" applyAlignment="1">
      <alignment horizontal="center" vertical="center"/>
    </xf>
    <xf numFmtId="164" fontId="42" fillId="0" borderId="0" xfId="1" applyNumberFormat="1" applyFont="1" applyFill="1" applyAlignment="1">
      <alignment horizontal="center" vertical="center"/>
    </xf>
    <xf numFmtId="164" fontId="42" fillId="0" borderId="0" xfId="1" applyNumberFormat="1" applyFont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4" fontId="45" fillId="0" borderId="1" xfId="1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64" fontId="42" fillId="0" borderId="1" xfId="0" applyNumberFormat="1" applyFont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164" fontId="42" fillId="0" borderId="0" xfId="0" applyNumberFormat="1" applyFont="1" applyBorder="1" applyAlignment="1">
      <alignment horizontal="center" vertical="center"/>
    </xf>
    <xf numFmtId="164" fontId="42" fillId="0" borderId="0" xfId="1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45" fillId="0" borderId="1" xfId="0" applyNumberFormat="1" applyFont="1" applyBorder="1" applyAlignment="1">
      <alignment horizontal="center" vertical="center"/>
    </xf>
    <xf numFmtId="164" fontId="48" fillId="0" borderId="1" xfId="1" applyNumberFormat="1" applyFont="1" applyBorder="1" applyAlignment="1">
      <alignment horizontal="center"/>
    </xf>
    <xf numFmtId="164" fontId="48" fillId="3" borderId="1" xfId="1" applyNumberFormat="1" applyFont="1" applyFill="1" applyBorder="1" applyAlignment="1">
      <alignment horizontal="center"/>
    </xf>
    <xf numFmtId="164" fontId="48" fillId="0" borderId="0" xfId="1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50" fillId="0" borderId="1" xfId="1" applyNumberFormat="1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33" fillId="0" borderId="1" xfId="0" applyFont="1" applyFill="1" applyBorder="1"/>
    <xf numFmtId="164" fontId="48" fillId="0" borderId="0" xfId="0" applyNumberFormat="1" applyFont="1" applyFill="1" applyAlignment="1">
      <alignment horizontal="center" vertical="center"/>
    </xf>
    <xf numFmtId="164" fontId="48" fillId="0" borderId="0" xfId="1" applyNumberFormat="1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164" fontId="33" fillId="0" borderId="0" xfId="1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1" fillId="0" borderId="0" xfId="0" applyFont="1"/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34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67" fillId="0" borderId="1" xfId="0" applyFont="1" applyFill="1" applyBorder="1" applyAlignment="1">
      <alignment horizontal="center"/>
    </xf>
    <xf numFmtId="164" fontId="52" fillId="0" borderId="1" xfId="1" applyNumberFormat="1" applyFont="1" applyBorder="1" applyAlignment="1">
      <alignment horizontal="center"/>
    </xf>
    <xf numFmtId="164" fontId="78" fillId="0" borderId="1" xfId="1" applyNumberFormat="1" applyFont="1" applyBorder="1" applyAlignment="1">
      <alignment horizontal="center" vertical="center"/>
    </xf>
    <xf numFmtId="164" fontId="79" fillId="0" borderId="1" xfId="1" applyNumberFormat="1" applyFont="1" applyBorder="1" applyAlignment="1">
      <alignment horizontal="center"/>
    </xf>
    <xf numFmtId="164" fontId="54" fillId="0" borderId="1" xfId="1" applyNumberFormat="1" applyFont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1" applyNumberFormat="1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4" fontId="52" fillId="3" borderId="1" xfId="1" applyNumberFormat="1" applyFont="1" applyFill="1" applyBorder="1" applyAlignment="1">
      <alignment horizontal="center"/>
    </xf>
    <xf numFmtId="164" fontId="52" fillId="0" borderId="1" xfId="1" applyNumberFormat="1" applyFont="1" applyFill="1" applyBorder="1" applyAlignment="1">
      <alignment horizontal="center"/>
    </xf>
    <xf numFmtId="164" fontId="52" fillId="0" borderId="0" xfId="0" applyNumberFormat="1" applyFont="1" applyAlignment="1">
      <alignment horizontal="center" vertical="center"/>
    </xf>
    <xf numFmtId="164" fontId="52" fillId="0" borderId="0" xfId="1" applyNumberFormat="1" applyFont="1" applyFill="1" applyAlignment="1">
      <alignment horizontal="center" vertical="center"/>
    </xf>
    <xf numFmtId="164" fontId="52" fillId="0" borderId="0" xfId="1" applyNumberFormat="1" applyFont="1" applyAlignment="1">
      <alignment horizontal="center" vertical="center"/>
    </xf>
    <xf numFmtId="164" fontId="57" fillId="0" borderId="1" xfId="1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vertical="center"/>
    </xf>
    <xf numFmtId="0" fontId="54" fillId="0" borderId="1" xfId="0" applyFont="1" applyBorder="1"/>
    <xf numFmtId="164" fontId="54" fillId="3" borderId="1" xfId="1" applyNumberFormat="1" applyFont="1" applyFill="1" applyBorder="1" applyAlignment="1">
      <alignment horizontal="center"/>
    </xf>
    <xf numFmtId="164" fontId="54" fillId="0" borderId="0" xfId="0" applyNumberFormat="1" applyFont="1" applyAlignment="1">
      <alignment horizontal="center" vertical="center"/>
    </xf>
    <xf numFmtId="164" fontId="54" fillId="0" borderId="0" xfId="1" applyNumberFormat="1" applyFont="1" applyFill="1" applyAlignment="1">
      <alignment horizontal="center" vertical="center"/>
    </xf>
    <xf numFmtId="164" fontId="54" fillId="0" borderId="0" xfId="1" applyNumberFormat="1" applyFont="1" applyAlignment="1">
      <alignment horizontal="center" vertical="center"/>
    </xf>
    <xf numFmtId="164" fontId="59" fillId="0" borderId="1" xfId="1" applyNumberFormat="1" applyFont="1" applyBorder="1" applyAlignment="1">
      <alignment horizontal="center" vertical="center"/>
    </xf>
    <xf numFmtId="0" fontId="78" fillId="0" borderId="1" xfId="0" applyFont="1" applyBorder="1"/>
    <xf numFmtId="164" fontId="78" fillId="3" borderId="1" xfId="1" applyNumberFormat="1" applyFont="1" applyFill="1" applyBorder="1" applyAlignment="1">
      <alignment horizontal="center" vertical="center"/>
    </xf>
    <xf numFmtId="0" fontId="78" fillId="0" borderId="0" xfId="0" applyFont="1"/>
    <xf numFmtId="164" fontId="78" fillId="0" borderId="0" xfId="0" applyNumberFormat="1" applyFont="1" applyAlignment="1">
      <alignment horizontal="center" vertical="center"/>
    </xf>
    <xf numFmtId="164" fontId="78" fillId="0" borderId="0" xfId="1" applyNumberFormat="1" applyFont="1" applyFill="1" applyAlignment="1">
      <alignment horizontal="center" vertical="center"/>
    </xf>
    <xf numFmtId="164" fontId="78" fillId="0" borderId="0" xfId="1" applyNumberFormat="1" applyFont="1" applyAlignment="1">
      <alignment horizontal="center" vertical="center"/>
    </xf>
    <xf numFmtId="0" fontId="80" fillId="0" borderId="1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164" fontId="81" fillId="0" borderId="1" xfId="1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164" fontId="83" fillId="0" borderId="1" xfId="1" applyNumberFormat="1" applyFont="1" applyBorder="1" applyAlignment="1">
      <alignment horizontal="center"/>
    </xf>
    <xf numFmtId="164" fontId="83" fillId="3" borderId="1" xfId="1" applyNumberFormat="1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164" fontId="83" fillId="0" borderId="0" xfId="0" applyNumberFormat="1" applyFont="1" applyAlignment="1">
      <alignment horizontal="center" vertical="center"/>
    </xf>
    <xf numFmtId="164" fontId="83" fillId="0" borderId="0" xfId="1" applyNumberFormat="1" applyFont="1" applyFill="1" applyAlignment="1">
      <alignment horizontal="center" vertical="center"/>
    </xf>
    <xf numFmtId="164" fontId="83" fillId="0" borderId="0" xfId="1" applyNumberFormat="1" applyFont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164" fontId="85" fillId="0" borderId="1" xfId="1" applyNumberFormat="1" applyFont="1" applyBorder="1" applyAlignment="1">
      <alignment horizontal="center" vertical="center"/>
    </xf>
    <xf numFmtId="164" fontId="85" fillId="0" borderId="1" xfId="0" applyNumberFormat="1" applyFont="1" applyBorder="1" applyAlignment="1">
      <alignment horizontal="center" vertical="center"/>
    </xf>
    <xf numFmtId="164" fontId="57" fillId="0" borderId="1" xfId="0" applyNumberFormat="1" applyFont="1" applyBorder="1" applyAlignment="1">
      <alignment horizontal="center" vertical="center"/>
    </xf>
    <xf numFmtId="164" fontId="50" fillId="0" borderId="1" xfId="0" applyNumberFormat="1" applyFont="1" applyBorder="1" applyAlignment="1">
      <alignment horizontal="center" vertical="center"/>
    </xf>
    <xf numFmtId="164" fontId="53" fillId="0" borderId="1" xfId="1" applyNumberFormat="1" applyFont="1" applyBorder="1" applyAlignment="1">
      <alignment horizontal="center"/>
    </xf>
    <xf numFmtId="0" fontId="53" fillId="0" borderId="1" xfId="0" applyFont="1" applyBorder="1"/>
    <xf numFmtId="164" fontId="53" fillId="3" borderId="1" xfId="1" applyNumberFormat="1" applyFont="1" applyFill="1" applyBorder="1" applyAlignment="1">
      <alignment horizontal="center"/>
    </xf>
    <xf numFmtId="164" fontId="53" fillId="0" borderId="0" xfId="0" applyNumberFormat="1" applyFont="1" applyAlignment="1">
      <alignment horizontal="center" vertical="center"/>
    </xf>
    <xf numFmtId="164" fontId="53" fillId="0" borderId="0" xfId="1" applyNumberFormat="1" applyFont="1" applyFill="1" applyAlignment="1">
      <alignment horizontal="center" vertical="center"/>
    </xf>
    <xf numFmtId="164" fontId="53" fillId="0" borderId="0" xfId="1" applyNumberFormat="1" applyFont="1" applyAlignment="1">
      <alignment horizontal="center" vertical="center"/>
    </xf>
    <xf numFmtId="164" fontId="58" fillId="0" borderId="1" xfId="1" applyNumberFormat="1" applyFont="1" applyBorder="1" applyAlignment="1">
      <alignment horizontal="center" vertical="center"/>
    </xf>
    <xf numFmtId="164" fontId="58" fillId="0" borderId="1" xfId="1" applyNumberFormat="1" applyFont="1" applyBorder="1" applyAlignment="1">
      <alignment horizontal="center"/>
    </xf>
    <xf numFmtId="164" fontId="58" fillId="0" borderId="1" xfId="0" applyNumberFormat="1" applyFont="1" applyBorder="1" applyAlignment="1">
      <alignment horizontal="center" vertical="center"/>
    </xf>
    <xf numFmtId="164" fontId="45" fillId="0" borderId="1" xfId="0" applyNumberFormat="1" applyFont="1" applyBorder="1" applyAlignment="1">
      <alignment horizontal="center" vertical="center"/>
    </xf>
    <xf numFmtId="0" fontId="79" fillId="0" borderId="1" xfId="0" applyFont="1" applyBorder="1"/>
    <xf numFmtId="164" fontId="79" fillId="3" borderId="1" xfId="1" applyNumberFormat="1" applyFont="1" applyFill="1" applyBorder="1" applyAlignment="1">
      <alignment horizontal="center"/>
    </xf>
    <xf numFmtId="164" fontId="79" fillId="0" borderId="1" xfId="1" applyNumberFormat="1" applyFont="1" applyFill="1" applyBorder="1" applyAlignment="1">
      <alignment horizontal="center"/>
    </xf>
    <xf numFmtId="0" fontId="79" fillId="0" borderId="0" xfId="0" applyFont="1"/>
    <xf numFmtId="164" fontId="79" fillId="0" borderId="0" xfId="0" applyNumberFormat="1" applyFont="1" applyAlignment="1">
      <alignment horizontal="center" vertical="center"/>
    </xf>
    <xf numFmtId="164" fontId="79" fillId="0" borderId="0" xfId="1" applyNumberFormat="1" applyFont="1" applyFill="1" applyAlignment="1">
      <alignment horizontal="center" vertical="center"/>
    </xf>
    <xf numFmtId="164" fontId="79" fillId="0" borderId="0" xfId="1" applyNumberFormat="1" applyFont="1" applyAlignment="1">
      <alignment horizontal="center" vertical="center"/>
    </xf>
    <xf numFmtId="0" fontId="86" fillId="0" borderId="1" xfId="0" applyFont="1" applyBorder="1" applyAlignment="1">
      <alignment horizontal="center" vertical="center"/>
    </xf>
    <xf numFmtId="0" fontId="87" fillId="0" borderId="1" xfId="0" applyFont="1" applyBorder="1" applyAlignment="1">
      <alignment horizontal="center" vertical="center"/>
    </xf>
    <xf numFmtId="164" fontId="87" fillId="0" borderId="1" xfId="1" applyNumberFormat="1" applyFont="1" applyBorder="1" applyAlignment="1">
      <alignment horizontal="center" vertical="center"/>
    </xf>
    <xf numFmtId="164" fontId="87" fillId="0" borderId="1" xfId="0" applyNumberFormat="1" applyFont="1" applyBorder="1" applyAlignment="1">
      <alignment horizontal="center" vertical="center"/>
    </xf>
    <xf numFmtId="164" fontId="59" fillId="0" borderId="1" xfId="0" applyNumberFormat="1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5" fillId="0" borderId="1" xfId="0" applyFont="1" applyBorder="1"/>
    <xf numFmtId="164" fontId="55" fillId="0" borderId="1" xfId="1" applyNumberFormat="1" applyFont="1" applyBorder="1" applyAlignment="1">
      <alignment horizontal="center"/>
    </xf>
    <xf numFmtId="164" fontId="55" fillId="3" borderId="1" xfId="1" applyNumberFormat="1" applyFont="1" applyFill="1" applyBorder="1" applyAlignment="1">
      <alignment horizontal="center"/>
    </xf>
    <xf numFmtId="164" fontId="55" fillId="0" borderId="0" xfId="0" applyNumberFormat="1" applyFont="1" applyAlignment="1">
      <alignment horizontal="center" vertical="center"/>
    </xf>
    <xf numFmtId="164" fontId="55" fillId="0" borderId="0" xfId="1" applyNumberFormat="1" applyFont="1" applyFill="1" applyAlignment="1">
      <alignment horizontal="center" vertical="center"/>
    </xf>
    <xf numFmtId="164" fontId="55" fillId="0" borderId="0" xfId="1" applyNumberFormat="1" applyFont="1" applyAlignment="1">
      <alignment horizontal="center" vertical="center"/>
    </xf>
    <xf numFmtId="164" fontId="60" fillId="0" borderId="1" xfId="1" applyNumberFormat="1" applyFont="1" applyBorder="1" applyAlignment="1">
      <alignment horizontal="center" vertical="center"/>
    </xf>
    <xf numFmtId="164" fontId="60" fillId="0" borderId="1" xfId="0" applyNumberFormat="1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8" fillId="0" borderId="1" xfId="0" applyFont="1" applyBorder="1"/>
    <xf numFmtId="0" fontId="88" fillId="0" borderId="0" xfId="0" applyFont="1"/>
    <xf numFmtId="164" fontId="88" fillId="0" borderId="0" xfId="0" applyNumberFormat="1" applyFont="1" applyAlignment="1">
      <alignment horizontal="center" vertical="center"/>
    </xf>
    <xf numFmtId="164" fontId="88" fillId="0" borderId="0" xfId="1" applyNumberFormat="1" applyFont="1" applyFill="1" applyAlignment="1">
      <alignment horizontal="center" vertical="center"/>
    </xf>
    <xf numFmtId="164" fontId="88" fillId="0" borderId="0" xfId="1" applyNumberFormat="1" applyFont="1" applyAlignment="1">
      <alignment horizontal="center" vertical="center"/>
    </xf>
    <xf numFmtId="0" fontId="90" fillId="0" borderId="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164" fontId="91" fillId="0" borderId="1" xfId="1" applyNumberFormat="1" applyFont="1" applyBorder="1" applyAlignment="1">
      <alignment horizontal="center" vertical="center"/>
    </xf>
    <xf numFmtId="164" fontId="91" fillId="0" borderId="1" xfId="0" applyNumberFormat="1" applyFont="1" applyBorder="1" applyAlignment="1">
      <alignment horizontal="center" vertical="center"/>
    </xf>
    <xf numFmtId="164" fontId="81" fillId="0" borderId="1" xfId="0" applyNumberFormat="1" applyFont="1" applyBorder="1" applyAlignment="1">
      <alignment horizontal="center" vertical="center"/>
    </xf>
    <xf numFmtId="164" fontId="78" fillId="0" borderId="1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164" fontId="81" fillId="0" borderId="1" xfId="1" applyNumberFormat="1" applyFont="1" applyFill="1" applyBorder="1" applyAlignment="1">
      <alignment horizontal="center" vertical="center"/>
    </xf>
    <xf numFmtId="164" fontId="54" fillId="0" borderId="1" xfId="0" applyNumberFormat="1" applyFont="1" applyFill="1" applyBorder="1" applyAlignment="1">
      <alignment horizontal="center" vertical="center"/>
    </xf>
    <xf numFmtId="164" fontId="59" fillId="0" borderId="1" xfId="1" applyNumberFormat="1" applyFont="1" applyFill="1" applyBorder="1" applyAlignment="1">
      <alignment horizontal="center" vertical="center"/>
    </xf>
    <xf numFmtId="164" fontId="45" fillId="0" borderId="1" xfId="0" applyNumberFormat="1" applyFont="1" applyFill="1" applyBorder="1" applyAlignment="1">
      <alignment horizontal="center" vertical="center"/>
    </xf>
    <xf numFmtId="164" fontId="55" fillId="0" borderId="1" xfId="0" applyNumberFormat="1" applyFont="1" applyFill="1" applyBorder="1" applyAlignment="1">
      <alignment horizontal="center" vertical="center"/>
    </xf>
    <xf numFmtId="164" fontId="60" fillId="0" borderId="1" xfId="1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164" fontId="54" fillId="0" borderId="1" xfId="1" applyNumberFormat="1" applyFont="1" applyFill="1" applyBorder="1" applyAlignment="1">
      <alignment horizontal="center" vertical="center"/>
    </xf>
    <xf numFmtId="164" fontId="54" fillId="3" borderId="1" xfId="1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4" fontId="54" fillId="0" borderId="0" xfId="0" applyNumberFormat="1" applyFont="1" applyFill="1" applyAlignment="1">
      <alignment horizontal="center" vertical="center"/>
    </xf>
    <xf numFmtId="0" fontId="78" fillId="0" borderId="1" xfId="0" applyFont="1" applyFill="1" applyBorder="1" applyAlignment="1">
      <alignment horizontal="center" vertical="center"/>
    </xf>
    <xf numFmtId="164" fontId="78" fillId="0" borderId="1" xfId="1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164" fontId="78" fillId="0" borderId="0" xfId="0" applyNumberFormat="1" applyFont="1" applyFill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164" fontId="55" fillId="0" borderId="1" xfId="1" applyNumberFormat="1" applyFont="1" applyFill="1" applyBorder="1" applyAlignment="1">
      <alignment horizontal="center" vertical="center"/>
    </xf>
    <xf numFmtId="164" fontId="55" fillId="3" borderId="1" xfId="1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64" fontId="55" fillId="0" borderId="0" xfId="0" applyNumberFormat="1" applyFont="1" applyFill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" fontId="15" fillId="2" borderId="1" xfId="1" applyNumberFormat="1" applyFont="1" applyFill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164" fontId="33" fillId="0" borderId="0" xfId="1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164" fontId="42" fillId="0" borderId="1" xfId="1" applyNumberFormat="1" applyFont="1" applyFill="1" applyBorder="1" applyAlignment="1">
      <alignment horizontal="center"/>
    </xf>
    <xf numFmtId="0" fontId="42" fillId="0" borderId="0" xfId="0" applyFont="1" applyBorder="1"/>
    <xf numFmtId="0" fontId="15" fillId="2" borderId="1" xfId="0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/>
    <xf numFmtId="0" fontId="65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103" fillId="0" borderId="0" xfId="0" applyFont="1"/>
    <xf numFmtId="0" fontId="106" fillId="0" borderId="0" xfId="0" applyFont="1" applyAlignment="1">
      <alignment horizontal="center" vertical="center"/>
    </xf>
    <xf numFmtId="0" fontId="107" fillId="0" borderId="1" xfId="0" applyFont="1" applyBorder="1" applyAlignment="1">
      <alignment horizontal="center" vertical="center"/>
    </xf>
    <xf numFmtId="0" fontId="15" fillId="0" borderId="0" xfId="0" applyFont="1"/>
    <xf numFmtId="0" fontId="106" fillId="0" borderId="0" xfId="0" applyFont="1"/>
    <xf numFmtId="0" fontId="20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2" fontId="57" fillId="0" borderId="1" xfId="0" applyNumberFormat="1" applyFont="1" applyBorder="1" applyAlignment="1">
      <alignment horizontal="center" vertical="center"/>
    </xf>
    <xf numFmtId="2" fontId="59" fillId="0" borderId="1" xfId="0" applyNumberFormat="1" applyFont="1" applyBorder="1" applyAlignment="1">
      <alignment horizontal="center" vertical="center"/>
    </xf>
    <xf numFmtId="2" fontId="91" fillId="0" borderId="1" xfId="0" applyNumberFormat="1" applyFont="1" applyBorder="1" applyAlignment="1">
      <alignment horizontal="center" vertical="center"/>
    </xf>
    <xf numFmtId="2" fontId="8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46" fillId="0" borderId="0" xfId="0" applyFont="1" applyFill="1"/>
    <xf numFmtId="2" fontId="46" fillId="4" borderId="0" xfId="0" applyNumberFormat="1" applyFont="1" applyFill="1" applyAlignment="1">
      <alignment horizontal="center" vertical="center"/>
    </xf>
    <xf numFmtId="0" fontId="46" fillId="4" borderId="0" xfId="0" applyFont="1" applyFill="1" applyAlignment="1">
      <alignment horizontal="center" vertical="center"/>
    </xf>
    <xf numFmtId="0" fontId="46" fillId="4" borderId="0" xfId="0" applyFont="1" applyFill="1"/>
    <xf numFmtId="2" fontId="47" fillId="4" borderId="1" xfId="0" applyNumberFormat="1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37" fillId="0" borderId="0" xfId="0" applyFont="1"/>
    <xf numFmtId="0" fontId="51" fillId="5" borderId="0" xfId="0" applyFont="1" applyFill="1" applyAlignment="1">
      <alignment horizontal="center"/>
    </xf>
    <xf numFmtId="166" fontId="51" fillId="0" borderId="0" xfId="0" applyNumberFormat="1" applyFont="1"/>
    <xf numFmtId="3" fontId="51" fillId="6" borderId="0" xfId="0" applyNumberFormat="1" applyFont="1" applyFill="1"/>
    <xf numFmtId="166" fontId="51" fillId="6" borderId="0" xfId="0" applyNumberFormat="1" applyFont="1" applyFill="1"/>
    <xf numFmtId="3" fontId="51" fillId="7" borderId="0" xfId="0" applyNumberFormat="1" applyFont="1" applyFill="1"/>
    <xf numFmtId="166" fontId="51" fillId="7" borderId="0" xfId="0" applyNumberFormat="1" applyFont="1" applyFill="1"/>
    <xf numFmtId="3" fontId="51" fillId="8" borderId="0" xfId="0" applyNumberFormat="1" applyFont="1" applyFill="1"/>
    <xf numFmtId="0" fontId="51" fillId="7" borderId="0" xfId="0" applyFont="1" applyFill="1" applyAlignment="1">
      <alignment horizontal="center"/>
    </xf>
    <xf numFmtId="2" fontId="51" fillId="7" borderId="0" xfId="0" applyNumberFormat="1" applyFont="1" applyFill="1" applyAlignment="1">
      <alignment horizontal="center"/>
    </xf>
    <xf numFmtId="165" fontId="56" fillId="7" borderId="0" xfId="0" applyNumberFormat="1" applyFont="1" applyFill="1" applyAlignment="1">
      <alignment horizontal="center"/>
    </xf>
    <xf numFmtId="0" fontId="110" fillId="9" borderId="0" xfId="0" applyFont="1" applyFill="1" applyAlignment="1">
      <alignment horizontal="center"/>
    </xf>
    <xf numFmtId="0" fontId="111" fillId="9" borderId="0" xfId="0" applyFont="1" applyFill="1" applyAlignment="1">
      <alignment horizontal="center"/>
    </xf>
    <xf numFmtId="165" fontId="111" fillId="9" borderId="0" xfId="0" applyNumberFormat="1" applyFont="1" applyFill="1" applyAlignment="1">
      <alignment horizontal="center"/>
    </xf>
    <xf numFmtId="3" fontId="51" fillId="0" borderId="0" xfId="0" applyNumberFormat="1" applyFont="1"/>
    <xf numFmtId="165" fontId="56" fillId="0" borderId="0" xfId="0" applyNumberFormat="1" applyFont="1" applyAlignment="1">
      <alignment horizontal="center"/>
    </xf>
    <xf numFmtId="0" fontId="51" fillId="6" borderId="0" xfId="0" applyFont="1" applyFill="1"/>
    <xf numFmtId="0" fontId="51" fillId="7" borderId="0" xfId="0" applyFont="1" applyFill="1"/>
    <xf numFmtId="0" fontId="51" fillId="8" borderId="0" xfId="0" applyFont="1" applyFill="1"/>
    <xf numFmtId="0" fontId="51" fillId="6" borderId="0" xfId="0" applyFont="1" applyFill="1" applyAlignment="1">
      <alignment horizontal="center"/>
    </xf>
    <xf numFmtId="3" fontId="51" fillId="7" borderId="0" xfId="0" applyNumberFormat="1" applyFont="1" applyFill="1" applyAlignment="1">
      <alignment horizontal="center"/>
    </xf>
    <xf numFmtId="0" fontId="51" fillId="8" borderId="0" xfId="0" applyFont="1" applyFill="1" applyAlignment="1">
      <alignment horizontal="center"/>
    </xf>
    <xf numFmtId="3" fontId="51" fillId="8" borderId="0" xfId="0" applyNumberFormat="1" applyFont="1" applyFill="1" applyAlignment="1">
      <alignment horizontal="center"/>
    </xf>
    <xf numFmtId="3" fontId="51" fillId="6" borderId="0" xfId="0" applyNumberFormat="1" applyFont="1" applyFill="1" applyAlignment="1">
      <alignment horizontal="right"/>
    </xf>
    <xf numFmtId="0" fontId="110" fillId="11" borderId="0" xfId="0" applyFont="1" applyFill="1"/>
    <xf numFmtId="0" fontId="110" fillId="11" borderId="0" xfId="0" applyFont="1" applyFill="1" applyAlignment="1">
      <alignment horizontal="center"/>
    </xf>
    <xf numFmtId="3" fontId="51" fillId="10" borderId="0" xfId="0" applyNumberFormat="1" applyFont="1" applyFill="1"/>
    <xf numFmtId="0" fontId="51" fillId="10" borderId="0" xfId="0" applyFont="1" applyFill="1" applyAlignment="1">
      <alignment horizontal="center"/>
    </xf>
    <xf numFmtId="0" fontId="51" fillId="10" borderId="0" xfId="0" applyFont="1" applyFill="1"/>
    <xf numFmtId="0" fontId="37" fillId="0" borderId="0" xfId="0" applyFont="1" applyAlignment="1">
      <alignment horizontal="center"/>
    </xf>
    <xf numFmtId="0" fontId="37" fillId="5" borderId="0" xfId="0" applyFont="1" applyFill="1" applyAlignment="1">
      <alignment horizontal="center"/>
    </xf>
    <xf numFmtId="166" fontId="37" fillId="0" borderId="0" xfId="0" applyNumberFormat="1" applyFont="1" applyAlignment="1">
      <alignment horizontal="center"/>
    </xf>
    <xf numFmtId="166" fontId="37" fillId="0" borderId="0" xfId="0" applyNumberFormat="1" applyFont="1"/>
    <xf numFmtId="0" fontId="37" fillId="7" borderId="0" xfId="0" applyFont="1" applyFill="1" applyAlignment="1">
      <alignment horizontal="center"/>
    </xf>
    <xf numFmtId="2" fontId="37" fillId="7" borderId="0" xfId="0" applyNumberFormat="1" applyFont="1" applyFill="1" applyAlignment="1">
      <alignment horizontal="center"/>
    </xf>
    <xf numFmtId="165" fontId="108" fillId="7" borderId="0" xfId="0" applyNumberFormat="1" applyFont="1" applyFill="1" applyAlignment="1">
      <alignment horizontal="center"/>
    </xf>
    <xf numFmtId="3" fontId="37" fillId="0" borderId="0" xfId="0" applyNumberFormat="1" applyFont="1"/>
    <xf numFmtId="0" fontId="103" fillId="0" borderId="0" xfId="0" applyFont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3" fontId="51" fillId="0" borderId="0" xfId="0" applyNumberFormat="1" applyFont="1" applyBorder="1"/>
    <xf numFmtId="3" fontId="51" fillId="10" borderId="0" xfId="0" applyNumberFormat="1" applyFont="1" applyFill="1" applyBorder="1"/>
    <xf numFmtId="0" fontId="51" fillId="7" borderId="0" xfId="0" applyFont="1" applyFill="1" applyBorder="1" applyAlignment="1">
      <alignment horizontal="center"/>
    </xf>
    <xf numFmtId="2" fontId="51" fillId="7" borderId="0" xfId="0" applyNumberFormat="1" applyFont="1" applyFill="1" applyBorder="1" applyAlignment="1">
      <alignment horizontal="center"/>
    </xf>
    <xf numFmtId="165" fontId="56" fillId="7" borderId="0" xfId="0" applyNumberFormat="1" applyFont="1" applyFill="1" applyBorder="1" applyAlignment="1">
      <alignment horizontal="center"/>
    </xf>
    <xf numFmtId="0" fontId="111" fillId="9" borderId="0" xfId="0" applyFont="1" applyFill="1" applyBorder="1" applyAlignment="1">
      <alignment horizontal="center"/>
    </xf>
    <xf numFmtId="0" fontId="110" fillId="9" borderId="0" xfId="0" applyFont="1" applyFill="1" applyBorder="1" applyAlignment="1">
      <alignment horizontal="center"/>
    </xf>
    <xf numFmtId="165" fontId="111" fillId="9" borderId="0" xfId="0" applyNumberFormat="1" applyFont="1" applyFill="1" applyBorder="1" applyAlignment="1">
      <alignment horizontal="center"/>
    </xf>
    <xf numFmtId="0" fontId="51" fillId="0" borderId="25" xfId="0" applyFont="1" applyBorder="1"/>
    <xf numFmtId="0" fontId="51" fillId="0" borderId="26" xfId="0" applyFont="1" applyBorder="1"/>
    <xf numFmtId="0" fontId="103" fillId="0" borderId="0" xfId="0" applyFont="1" applyBorder="1" applyAlignment="1">
      <alignment horizontal="center"/>
    </xf>
    <xf numFmtId="0" fontId="51" fillId="0" borderId="0" xfId="0" applyFont="1" applyBorder="1"/>
    <xf numFmtId="0" fontId="67" fillId="0" borderId="0" xfId="0" applyFont="1" applyFill="1" applyBorder="1" applyAlignment="1">
      <alignment horizontal="center"/>
    </xf>
    <xf numFmtId="0" fontId="51" fillId="0" borderId="27" xfId="0" applyFont="1" applyBorder="1"/>
    <xf numFmtId="0" fontId="51" fillId="0" borderId="26" xfId="0" applyFont="1" applyBorder="1" applyAlignment="1">
      <alignment horizontal="center"/>
    </xf>
    <xf numFmtId="2" fontId="51" fillId="7" borderId="26" xfId="0" applyNumberFormat="1" applyFont="1" applyFill="1" applyBorder="1" applyAlignment="1">
      <alignment horizontal="center"/>
    </xf>
    <xf numFmtId="165" fontId="56" fillId="7" borderId="26" xfId="0" applyNumberFormat="1" applyFont="1" applyFill="1" applyBorder="1" applyAlignment="1">
      <alignment horizontal="center"/>
    </xf>
    <xf numFmtId="165" fontId="111" fillId="9" borderId="26" xfId="0" applyNumberFormat="1" applyFont="1" applyFill="1" applyBorder="1" applyAlignment="1">
      <alignment horizontal="center"/>
    </xf>
    <xf numFmtId="0" fontId="51" fillId="0" borderId="28" xfId="0" applyFont="1" applyBorder="1"/>
    <xf numFmtId="0" fontId="37" fillId="6" borderId="0" xfId="0" applyFont="1" applyFill="1"/>
    <xf numFmtId="0" fontId="37" fillId="7" borderId="0" xfId="0" applyFont="1" applyFill="1"/>
    <xf numFmtId="0" fontId="37" fillId="6" borderId="0" xfId="0" applyFont="1" applyFill="1" applyAlignment="1">
      <alignment horizontal="center"/>
    </xf>
    <xf numFmtId="3" fontId="37" fillId="7" borderId="0" xfId="0" applyNumberFormat="1" applyFont="1" applyFill="1" applyAlignment="1">
      <alignment horizontal="center"/>
    </xf>
    <xf numFmtId="3" fontId="37" fillId="6" borderId="0" xfId="0" applyNumberFormat="1" applyFont="1" applyFill="1" applyAlignment="1">
      <alignment horizontal="center"/>
    </xf>
    <xf numFmtId="3" fontId="37" fillId="6" borderId="0" xfId="0" applyNumberFormat="1" applyFont="1" applyFill="1"/>
    <xf numFmtId="3" fontId="37" fillId="7" borderId="0" xfId="0" applyNumberFormat="1" applyFont="1" applyFill="1"/>
    <xf numFmtId="0" fontId="103" fillId="8" borderId="0" xfId="0" applyFont="1" applyFill="1"/>
    <xf numFmtId="0" fontId="103" fillId="8" borderId="0" xfId="0" applyFont="1" applyFill="1" applyAlignment="1">
      <alignment horizontal="center"/>
    </xf>
    <xf numFmtId="3" fontId="103" fillId="8" borderId="0" xfId="0" applyNumberFormat="1" applyFont="1" applyFill="1" applyAlignment="1">
      <alignment horizontal="center"/>
    </xf>
    <xf numFmtId="3" fontId="103" fillId="8" borderId="0" xfId="0" applyNumberFormat="1" applyFont="1" applyFill="1"/>
    <xf numFmtId="0" fontId="51" fillId="0" borderId="0" xfId="0" applyFont="1" applyFill="1"/>
    <xf numFmtId="0" fontId="56" fillId="12" borderId="1" xfId="0" applyFont="1" applyFill="1" applyBorder="1" applyAlignment="1">
      <alignment horizontal="center" vertical="center"/>
    </xf>
    <xf numFmtId="0" fontId="51" fillId="12" borderId="1" xfId="0" applyFont="1" applyFill="1" applyBorder="1"/>
    <xf numFmtId="0" fontId="51" fillId="12" borderId="1" xfId="0" applyFont="1" applyFill="1" applyBorder="1" applyAlignment="1">
      <alignment horizontal="center" vertical="center"/>
    </xf>
    <xf numFmtId="0" fontId="51" fillId="12" borderId="1" xfId="0" applyFont="1" applyFill="1" applyBorder="1" applyAlignment="1">
      <alignment horizontal="center"/>
    </xf>
    <xf numFmtId="0" fontId="105" fillId="12" borderId="1" xfId="0" applyFont="1" applyFill="1" applyBorder="1" applyAlignment="1">
      <alignment horizontal="center"/>
    </xf>
    <xf numFmtId="0" fontId="110" fillId="12" borderId="1" xfId="0" applyFont="1" applyFill="1" applyBorder="1" applyAlignment="1">
      <alignment horizontal="center"/>
    </xf>
    <xf numFmtId="165" fontId="56" fillId="12" borderId="1" xfId="0" applyNumberFormat="1" applyFont="1" applyFill="1" applyBorder="1" applyAlignment="1">
      <alignment horizontal="center"/>
    </xf>
    <xf numFmtId="165" fontId="51" fillId="12" borderId="1" xfId="0" applyNumberFormat="1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04" fillId="0" borderId="1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164" fontId="50" fillId="0" borderId="1" xfId="1" applyNumberFormat="1" applyFont="1" applyFill="1" applyBorder="1" applyAlignment="1">
      <alignment horizontal="center" vertical="center"/>
    </xf>
    <xf numFmtId="164" fontId="45" fillId="0" borderId="1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/>
    </xf>
    <xf numFmtId="1" fontId="15" fillId="2" borderId="1" xfId="1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64" fontId="42" fillId="0" borderId="0" xfId="1" applyNumberFormat="1" applyFont="1" applyBorder="1" applyAlignment="1">
      <alignment horizontal="center" vertical="center"/>
    </xf>
    <xf numFmtId="164" fontId="42" fillId="0" borderId="1" xfId="1" applyNumberFormat="1" applyFont="1" applyBorder="1" applyAlignment="1">
      <alignment horizontal="center" vertical="center"/>
    </xf>
    <xf numFmtId="164" fontId="88" fillId="3" borderId="1" xfId="1" applyNumberFormat="1" applyFont="1" applyFill="1" applyBorder="1" applyAlignment="1">
      <alignment horizontal="center" vertical="center"/>
    </xf>
    <xf numFmtId="164" fontId="48" fillId="3" borderId="1" xfId="1" applyNumberFormat="1" applyFont="1" applyFill="1" applyBorder="1" applyAlignment="1">
      <alignment horizontal="center" vertical="center"/>
    </xf>
    <xf numFmtId="164" fontId="88" fillId="0" borderId="1" xfId="1" applyNumberFormat="1" applyFont="1" applyBorder="1" applyAlignment="1">
      <alignment horizontal="center" vertical="center"/>
    </xf>
    <xf numFmtId="164" fontId="48" fillId="0" borderId="1" xfId="1" applyNumberFormat="1" applyFont="1" applyFill="1" applyBorder="1" applyAlignment="1">
      <alignment horizontal="center" vertical="center"/>
    </xf>
    <xf numFmtId="164" fontId="42" fillId="3" borderId="1" xfId="1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33" fillId="0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164" fontId="33" fillId="0" borderId="0" xfId="1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6" fillId="12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13" fillId="0" borderId="1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/>
    <xf numFmtId="2" fontId="116" fillId="0" borderId="1" xfId="0" applyNumberFormat="1" applyFont="1" applyBorder="1" applyAlignment="1">
      <alignment horizontal="center" vertical="center"/>
    </xf>
    <xf numFmtId="0" fontId="116" fillId="0" borderId="1" xfId="0" applyFont="1" applyBorder="1" applyAlignment="1">
      <alignment horizontal="center" vertical="center"/>
    </xf>
    <xf numFmtId="2" fontId="107" fillId="0" borderId="1" xfId="0" applyNumberFormat="1" applyFont="1" applyBorder="1" applyAlignment="1">
      <alignment horizontal="center" vertical="center"/>
    </xf>
    <xf numFmtId="0" fontId="51" fillId="0" borderId="0" xfId="0" applyFont="1" applyFill="1" applyBorder="1"/>
    <xf numFmtId="0" fontId="56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165" fontId="51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CCFF"/>
      <color rgb="FFFF6600"/>
      <color rgb="FFFF99CC"/>
      <color rgb="FF9966FF"/>
      <color rgb="FF009999"/>
      <color rgb="FF006600"/>
      <color rgb="FFC0C0C0"/>
      <color rgb="FFFF00FF"/>
      <color rgb="FFCCFF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4" workbookViewId="0">
      <selection activeCell="H62" sqref="H62"/>
    </sheetView>
  </sheetViews>
  <sheetFormatPr baseColWidth="10" defaultColWidth="8.6640625" defaultRowHeight="16.8" x14ac:dyDescent="0.3"/>
  <cols>
    <col min="1" max="1" width="51.6640625" style="19" bestFit="1" customWidth="1"/>
    <col min="2" max="2" width="12.44140625" style="19" bestFit="1" customWidth="1"/>
    <col min="3" max="3" width="12.88671875" style="19" bestFit="1" customWidth="1"/>
    <col min="4" max="4" width="15.5546875" style="19" bestFit="1" customWidth="1"/>
    <col min="5" max="5" width="24" style="19" bestFit="1" customWidth="1"/>
    <col min="6" max="6" width="12.44140625" style="19" bestFit="1" customWidth="1"/>
    <col min="7" max="7" width="12.44140625" style="19" customWidth="1"/>
    <col min="8" max="8" width="15.6640625" style="19" bestFit="1" customWidth="1"/>
    <col min="9" max="9" width="7.88671875" style="19" bestFit="1" customWidth="1"/>
    <col min="10" max="16384" width="8.6640625" style="19"/>
  </cols>
  <sheetData>
    <row r="1" spans="1:9" x14ac:dyDescent="0.3">
      <c r="A1" s="58" t="s">
        <v>55</v>
      </c>
      <c r="B1" s="27" t="s">
        <v>56</v>
      </c>
      <c r="C1" s="27" t="s">
        <v>76</v>
      </c>
      <c r="D1" s="27" t="s">
        <v>57</v>
      </c>
      <c r="E1" s="27" t="s">
        <v>58</v>
      </c>
      <c r="F1" s="27" t="s">
        <v>59</v>
      </c>
      <c r="G1" s="28"/>
      <c r="H1" s="53" t="s">
        <v>92</v>
      </c>
      <c r="I1" s="29"/>
    </row>
    <row r="2" spans="1:9" x14ac:dyDescent="0.3">
      <c r="A2" s="30" t="s">
        <v>60</v>
      </c>
      <c r="B2" s="31">
        <v>22</v>
      </c>
      <c r="C2" s="31">
        <v>88</v>
      </c>
      <c r="D2" s="31">
        <v>0</v>
      </c>
      <c r="E2" s="31">
        <v>88</v>
      </c>
      <c r="F2" s="31">
        <v>0</v>
      </c>
      <c r="G2" s="32"/>
      <c r="H2" s="53" t="s">
        <v>93</v>
      </c>
      <c r="I2" s="29"/>
    </row>
    <row r="3" spans="1:9" x14ac:dyDescent="0.3">
      <c r="A3" s="30" t="s">
        <v>75</v>
      </c>
      <c r="B3" s="31">
        <v>20</v>
      </c>
      <c r="C3" s="31">
        <v>73.400000000000006</v>
      </c>
      <c r="D3" s="31">
        <v>4.8</v>
      </c>
      <c r="E3" s="31">
        <v>76.959999999999994</v>
      </c>
      <c r="F3" s="31">
        <v>0</v>
      </c>
      <c r="G3" s="32"/>
      <c r="H3" s="53" t="s">
        <v>94</v>
      </c>
      <c r="I3" s="29"/>
    </row>
    <row r="4" spans="1:9" x14ac:dyDescent="0.3">
      <c r="A4" s="30" t="s">
        <v>61</v>
      </c>
      <c r="B4" s="31">
        <v>18</v>
      </c>
      <c r="C4" s="31">
        <v>72.36</v>
      </c>
      <c r="D4" s="31">
        <v>32.4</v>
      </c>
      <c r="E4" s="31">
        <v>25.2</v>
      </c>
      <c r="F4" s="31">
        <v>9.7200000000000006</v>
      </c>
      <c r="G4" s="32"/>
      <c r="H4" s="29"/>
      <c r="I4" s="29"/>
    </row>
    <row r="5" spans="1:9" x14ac:dyDescent="0.3">
      <c r="A5" s="30" t="s">
        <v>74</v>
      </c>
      <c r="B5" s="31">
        <v>10</v>
      </c>
      <c r="C5" s="31">
        <v>36.6</v>
      </c>
      <c r="D5" s="31">
        <v>17</v>
      </c>
      <c r="E5" s="31">
        <v>1.24</v>
      </c>
      <c r="F5" s="31">
        <v>18.45</v>
      </c>
      <c r="G5" s="32"/>
      <c r="H5" s="29"/>
      <c r="I5" s="29"/>
    </row>
    <row r="6" spans="1:9" x14ac:dyDescent="0.3">
      <c r="A6" s="30" t="s">
        <v>73</v>
      </c>
      <c r="B6" s="31">
        <v>80</v>
      </c>
      <c r="C6" s="31">
        <v>276.8</v>
      </c>
      <c r="D6" s="31">
        <v>25.6</v>
      </c>
      <c r="E6" s="31">
        <v>224</v>
      </c>
      <c r="F6" s="31">
        <v>21.6</v>
      </c>
      <c r="G6" s="32"/>
      <c r="H6" s="29"/>
      <c r="I6" s="29"/>
    </row>
    <row r="7" spans="1:9" x14ac:dyDescent="0.3">
      <c r="A7" s="30" t="s">
        <v>62</v>
      </c>
      <c r="B7" s="31">
        <v>20</v>
      </c>
      <c r="C7" s="31">
        <v>77.400000000000006</v>
      </c>
      <c r="D7" s="31">
        <v>0</v>
      </c>
      <c r="E7" s="31">
        <v>76.16</v>
      </c>
      <c r="F7" s="31">
        <v>0</v>
      </c>
      <c r="G7" s="32"/>
      <c r="H7" s="29"/>
      <c r="I7" s="29"/>
    </row>
    <row r="8" spans="1:9" x14ac:dyDescent="0.3">
      <c r="A8" s="33" t="s">
        <v>63</v>
      </c>
      <c r="B8" s="31">
        <v>7</v>
      </c>
      <c r="C8" s="31">
        <v>1.82</v>
      </c>
      <c r="D8" s="31">
        <v>0.14000000000000001</v>
      </c>
      <c r="E8" s="31">
        <v>1.96</v>
      </c>
      <c r="F8" s="31">
        <v>0</v>
      </c>
      <c r="G8" s="32"/>
      <c r="H8" s="29"/>
      <c r="I8" s="29"/>
    </row>
    <row r="9" spans="1:9" x14ac:dyDescent="0.3">
      <c r="A9" s="33" t="s">
        <v>64</v>
      </c>
      <c r="B9" s="472" t="s">
        <v>65</v>
      </c>
      <c r="C9" s="473"/>
      <c r="D9" s="473"/>
      <c r="E9" s="473"/>
      <c r="F9" s="474"/>
      <c r="G9" s="32"/>
      <c r="H9" s="29"/>
      <c r="I9" s="29"/>
    </row>
    <row r="10" spans="1:9" ht="17.399999999999999" thickBot="1" x14ac:dyDescent="0.35">
      <c r="A10" s="30" t="s">
        <v>66</v>
      </c>
      <c r="B10" s="31">
        <v>40</v>
      </c>
      <c r="C10" s="475" t="s">
        <v>72</v>
      </c>
      <c r="D10" s="476"/>
      <c r="E10" s="476"/>
      <c r="F10" s="477"/>
      <c r="G10" s="28"/>
      <c r="H10" s="29"/>
      <c r="I10" s="29"/>
    </row>
    <row r="11" spans="1:9" ht="17.399999999999999" thickBot="1" x14ac:dyDescent="0.35">
      <c r="A11" s="29"/>
      <c r="B11" s="51" t="s">
        <v>67</v>
      </c>
      <c r="C11" s="52">
        <v>626.38000000000011</v>
      </c>
      <c r="D11" s="52">
        <v>79.94</v>
      </c>
      <c r="E11" s="52">
        <v>493.51999999999992</v>
      </c>
      <c r="F11" s="52">
        <v>49.77</v>
      </c>
      <c r="G11" s="34"/>
      <c r="H11" s="35"/>
      <c r="I11" s="35"/>
    </row>
    <row r="12" spans="1:9" ht="17.399999999999999" thickBot="1" x14ac:dyDescent="0.35">
      <c r="A12" s="29"/>
      <c r="B12" s="478" t="s">
        <v>68</v>
      </c>
      <c r="C12" s="479"/>
      <c r="D12" s="62">
        <v>0.12762221015996678</v>
      </c>
      <c r="E12" s="62">
        <v>0.78789233372713019</v>
      </c>
      <c r="F12" s="63">
        <v>7.9456559915706118E-2</v>
      </c>
      <c r="G12" s="36"/>
      <c r="H12" s="29"/>
      <c r="I12" s="29"/>
    </row>
    <row r="13" spans="1:9" x14ac:dyDescent="0.3">
      <c r="A13" s="29"/>
      <c r="B13" s="29"/>
      <c r="C13" s="29"/>
      <c r="D13" s="29"/>
      <c r="E13" s="29"/>
      <c r="F13" s="29"/>
      <c r="G13" s="29"/>
    </row>
    <row r="14" spans="1:9" x14ac:dyDescent="0.3">
      <c r="A14" s="29"/>
      <c r="B14" s="29"/>
      <c r="C14" s="29"/>
      <c r="D14" s="29"/>
      <c r="E14" s="24" t="s">
        <v>91</v>
      </c>
      <c r="F14" s="25" t="s">
        <v>69</v>
      </c>
      <c r="G14" s="29"/>
    </row>
    <row r="15" spans="1:9" x14ac:dyDescent="0.3">
      <c r="A15" s="29"/>
      <c r="B15" s="29"/>
      <c r="C15" s="29"/>
      <c r="D15" s="29"/>
      <c r="E15" s="24" t="s">
        <v>70</v>
      </c>
      <c r="F15" s="25" t="s">
        <v>71</v>
      </c>
      <c r="G15" s="29"/>
      <c r="H15" s="455"/>
      <c r="I15" s="456"/>
    </row>
    <row r="16" spans="1:9" x14ac:dyDescent="0.3">
      <c r="A16" s="29"/>
      <c r="B16" s="29"/>
      <c r="C16" s="29"/>
      <c r="D16" s="29"/>
      <c r="E16" s="29"/>
      <c r="F16" s="29"/>
      <c r="G16" s="29"/>
      <c r="H16" s="455"/>
      <c r="I16" s="456"/>
    </row>
    <row r="17" spans="1:9" x14ac:dyDescent="0.3">
      <c r="D17" s="20"/>
    </row>
    <row r="18" spans="1:9" x14ac:dyDescent="0.3">
      <c r="D18" s="20"/>
    </row>
    <row r="19" spans="1:9" x14ac:dyDescent="0.3">
      <c r="A19" s="174" t="s">
        <v>95</v>
      </c>
      <c r="B19" s="27" t="s">
        <v>56</v>
      </c>
      <c r="C19" s="27" t="s">
        <v>76</v>
      </c>
      <c r="D19" s="27" t="s">
        <v>57</v>
      </c>
      <c r="E19" s="27" t="s">
        <v>58</v>
      </c>
      <c r="F19" s="27" t="s">
        <v>77</v>
      </c>
      <c r="G19" s="28"/>
      <c r="H19" s="21"/>
      <c r="I19" s="21"/>
    </row>
    <row r="20" spans="1:9" x14ac:dyDescent="0.3">
      <c r="A20" s="27" t="s">
        <v>78</v>
      </c>
      <c r="B20" s="27">
        <v>20</v>
      </c>
      <c r="C20" s="37">
        <v>43.4</v>
      </c>
      <c r="D20" s="37">
        <v>23.84</v>
      </c>
      <c r="E20" s="37">
        <v>18.72</v>
      </c>
      <c r="F20" s="37">
        <v>0.9</v>
      </c>
      <c r="G20" s="38"/>
      <c r="H20" s="21"/>
      <c r="I20" s="21"/>
    </row>
    <row r="21" spans="1:9" x14ac:dyDescent="0.3">
      <c r="A21" s="27" t="s">
        <v>74</v>
      </c>
      <c r="B21" s="27">
        <v>20</v>
      </c>
      <c r="C21" s="37">
        <v>73.2</v>
      </c>
      <c r="D21" s="37">
        <v>34</v>
      </c>
      <c r="E21" s="37">
        <v>2.48</v>
      </c>
      <c r="F21" s="37">
        <v>36.9</v>
      </c>
      <c r="G21" s="38"/>
      <c r="H21" s="21"/>
      <c r="I21" s="21"/>
    </row>
    <row r="22" spans="1:9" x14ac:dyDescent="0.3">
      <c r="A22" s="27" t="s">
        <v>60</v>
      </c>
      <c r="B22" s="27">
        <v>30</v>
      </c>
      <c r="C22" s="37">
        <v>120</v>
      </c>
      <c r="D22" s="37">
        <v>0</v>
      </c>
      <c r="E22" s="37">
        <v>120</v>
      </c>
      <c r="F22" s="37">
        <v>0</v>
      </c>
      <c r="G22" s="38"/>
      <c r="H22" s="21"/>
      <c r="I22" s="21"/>
    </row>
    <row r="23" spans="1:9" x14ac:dyDescent="0.3">
      <c r="A23" s="27" t="s">
        <v>62</v>
      </c>
      <c r="B23" s="27">
        <v>60</v>
      </c>
      <c r="C23" s="37">
        <v>232.2</v>
      </c>
      <c r="D23" s="37">
        <v>0</v>
      </c>
      <c r="E23" s="37">
        <v>228.48</v>
      </c>
      <c r="F23" s="37">
        <v>0</v>
      </c>
      <c r="G23" s="38"/>
      <c r="H23" s="21"/>
      <c r="I23" s="21"/>
    </row>
    <row r="24" spans="1:9" x14ac:dyDescent="0.3">
      <c r="A24" s="27" t="s">
        <v>61</v>
      </c>
      <c r="B24" s="27">
        <v>80</v>
      </c>
      <c r="C24" s="37">
        <v>321.60000000000002</v>
      </c>
      <c r="D24" s="37">
        <v>144</v>
      </c>
      <c r="E24" s="37">
        <v>112</v>
      </c>
      <c r="F24" s="37">
        <v>43.2</v>
      </c>
      <c r="G24" s="38"/>
      <c r="H24" s="21"/>
      <c r="I24" s="21"/>
    </row>
    <row r="25" spans="1:9" x14ac:dyDescent="0.3">
      <c r="A25" s="27" t="s">
        <v>63</v>
      </c>
      <c r="B25" s="27">
        <v>10</v>
      </c>
      <c r="C25" s="37">
        <v>2.6</v>
      </c>
      <c r="D25" s="37">
        <v>0.2</v>
      </c>
      <c r="E25" s="37">
        <v>2.8</v>
      </c>
      <c r="F25" s="37">
        <v>0</v>
      </c>
      <c r="G25" s="38"/>
      <c r="H25" s="21"/>
      <c r="I25" s="21"/>
    </row>
    <row r="26" spans="1:9" x14ac:dyDescent="0.3">
      <c r="A26" s="27" t="s">
        <v>64</v>
      </c>
      <c r="B26" s="472" t="s">
        <v>65</v>
      </c>
      <c r="C26" s="473"/>
      <c r="D26" s="473"/>
      <c r="E26" s="473"/>
      <c r="F26" s="474"/>
      <c r="G26" s="32"/>
      <c r="H26" s="21"/>
      <c r="I26" s="21"/>
    </row>
    <row r="27" spans="1:9" ht="17.399999999999999" thickBot="1" x14ac:dyDescent="0.35">
      <c r="A27" s="27" t="s">
        <v>66</v>
      </c>
      <c r="B27" s="39">
        <v>40</v>
      </c>
      <c r="C27" s="480" t="s">
        <v>72</v>
      </c>
      <c r="D27" s="481"/>
      <c r="E27" s="481"/>
      <c r="F27" s="482"/>
      <c r="G27" s="28"/>
      <c r="H27" s="21"/>
      <c r="I27" s="21"/>
    </row>
    <row r="28" spans="1:9" ht="18" thickBot="1" x14ac:dyDescent="0.4">
      <c r="A28" s="22"/>
      <c r="B28" s="54" t="s">
        <v>76</v>
      </c>
      <c r="C28" s="55">
        <v>793</v>
      </c>
      <c r="D28" s="55">
        <v>202.04</v>
      </c>
      <c r="E28" s="55">
        <v>484.47999999999996</v>
      </c>
      <c r="F28" s="56">
        <v>81</v>
      </c>
      <c r="G28" s="40"/>
      <c r="H28" s="21"/>
      <c r="I28" s="21"/>
    </row>
    <row r="29" spans="1:9" ht="15" customHeight="1" thickBot="1" x14ac:dyDescent="0.35">
      <c r="A29" s="29"/>
      <c r="B29" s="483" t="s">
        <v>68</v>
      </c>
      <c r="C29" s="485"/>
      <c r="D29" s="64">
        <v>0.25477931904161411</v>
      </c>
      <c r="E29" s="65">
        <v>0.61094577553593943</v>
      </c>
      <c r="F29" s="66">
        <v>0.10214375788146279</v>
      </c>
      <c r="G29" s="41"/>
    </row>
    <row r="30" spans="1:9" x14ac:dyDescent="0.3">
      <c r="A30" s="23"/>
      <c r="B30" s="23"/>
      <c r="C30" s="23"/>
      <c r="D30" s="23"/>
      <c r="E30" s="23"/>
      <c r="F30" s="23"/>
      <c r="G30" s="23"/>
    </row>
    <row r="31" spans="1:9" x14ac:dyDescent="0.3">
      <c r="A31" s="23"/>
      <c r="B31" s="23"/>
      <c r="C31" s="23"/>
      <c r="D31" s="23"/>
      <c r="E31" s="24" t="s">
        <v>91</v>
      </c>
      <c r="F31" s="25" t="s">
        <v>79</v>
      </c>
      <c r="G31" s="23"/>
      <c r="H31" s="455"/>
      <c r="I31" s="456"/>
    </row>
    <row r="32" spans="1:9" x14ac:dyDescent="0.3">
      <c r="E32" s="24" t="s">
        <v>70</v>
      </c>
      <c r="F32" s="25" t="s">
        <v>80</v>
      </c>
    </row>
    <row r="34" spans="1:9" x14ac:dyDescent="0.3">
      <c r="A34" s="173" t="s">
        <v>96</v>
      </c>
      <c r="B34" s="27" t="s">
        <v>56</v>
      </c>
      <c r="C34" s="27" t="s">
        <v>76</v>
      </c>
      <c r="D34" s="27" t="s">
        <v>57</v>
      </c>
      <c r="E34" s="27" t="s">
        <v>58</v>
      </c>
      <c r="F34" s="27" t="s">
        <v>59</v>
      </c>
      <c r="G34" s="28"/>
      <c r="H34" s="8"/>
      <c r="I34" s="29"/>
    </row>
    <row r="35" spans="1:9" x14ac:dyDescent="0.3">
      <c r="A35" s="57" t="s">
        <v>62</v>
      </c>
      <c r="B35" s="27">
        <v>30</v>
      </c>
      <c r="C35" s="42">
        <v>116.1</v>
      </c>
      <c r="D35" s="42">
        <v>0</v>
      </c>
      <c r="E35" s="42">
        <v>114.24</v>
      </c>
      <c r="F35" s="42">
        <v>0</v>
      </c>
      <c r="G35" s="43"/>
      <c r="H35" s="28"/>
      <c r="I35" s="29"/>
    </row>
    <row r="36" spans="1:9" x14ac:dyDescent="0.3">
      <c r="A36" s="57" t="s">
        <v>81</v>
      </c>
      <c r="B36" s="27">
        <v>18</v>
      </c>
      <c r="C36" s="42">
        <v>43.2</v>
      </c>
      <c r="D36" s="42">
        <v>0</v>
      </c>
      <c r="E36" s="42">
        <v>43.2</v>
      </c>
      <c r="F36" s="42">
        <v>0</v>
      </c>
      <c r="G36" s="43"/>
      <c r="H36" s="28"/>
      <c r="I36" s="29"/>
    </row>
    <row r="37" spans="1:9" x14ac:dyDescent="0.3">
      <c r="A37" s="57" t="s">
        <v>82</v>
      </c>
      <c r="B37" s="27">
        <v>15</v>
      </c>
      <c r="C37" s="42">
        <v>0</v>
      </c>
      <c r="D37" s="42">
        <v>0</v>
      </c>
      <c r="E37" s="42">
        <v>0</v>
      </c>
      <c r="F37" s="42">
        <v>0</v>
      </c>
      <c r="G37" s="43"/>
      <c r="H37" s="28"/>
      <c r="I37" s="29"/>
    </row>
    <row r="38" spans="1:9" x14ac:dyDescent="0.3">
      <c r="A38" s="57" t="s">
        <v>73</v>
      </c>
      <c r="B38" s="27">
        <v>65</v>
      </c>
      <c r="C38" s="42">
        <v>224.9</v>
      </c>
      <c r="D38" s="42">
        <v>20.8</v>
      </c>
      <c r="E38" s="42">
        <v>182</v>
      </c>
      <c r="F38" s="42">
        <v>17.55</v>
      </c>
      <c r="G38" s="43"/>
      <c r="H38" s="28"/>
      <c r="I38" s="29"/>
    </row>
    <row r="39" spans="1:9" x14ac:dyDescent="0.3">
      <c r="A39" s="57" t="s">
        <v>83</v>
      </c>
      <c r="B39" s="27">
        <v>20</v>
      </c>
      <c r="C39" s="42">
        <v>80</v>
      </c>
      <c r="D39" s="42">
        <v>0</v>
      </c>
      <c r="E39" s="42">
        <v>79.2</v>
      </c>
      <c r="F39" s="42">
        <v>0</v>
      </c>
      <c r="G39" s="43"/>
      <c r="H39" s="28"/>
      <c r="I39" s="29"/>
    </row>
    <row r="40" spans="1:9" x14ac:dyDescent="0.3">
      <c r="A40" s="57" t="s">
        <v>75</v>
      </c>
      <c r="B40" s="27">
        <v>15</v>
      </c>
      <c r="C40" s="42">
        <v>55.05</v>
      </c>
      <c r="D40" s="42">
        <v>3.6</v>
      </c>
      <c r="E40" s="42">
        <v>57.72</v>
      </c>
      <c r="F40" s="42">
        <v>0</v>
      </c>
      <c r="G40" s="43"/>
      <c r="H40" s="28"/>
      <c r="I40" s="29"/>
    </row>
    <row r="41" spans="1:9" x14ac:dyDescent="0.3">
      <c r="A41" s="57" t="s">
        <v>74</v>
      </c>
      <c r="B41" s="27">
        <v>70</v>
      </c>
      <c r="C41" s="42">
        <v>256.2</v>
      </c>
      <c r="D41" s="42">
        <v>119</v>
      </c>
      <c r="E41" s="42">
        <v>8.68</v>
      </c>
      <c r="F41" s="42">
        <v>129.15</v>
      </c>
      <c r="G41" s="43"/>
      <c r="H41" s="28"/>
      <c r="I41" s="29"/>
    </row>
    <row r="42" spans="1:9" x14ac:dyDescent="0.3">
      <c r="A42" s="57" t="s">
        <v>60</v>
      </c>
      <c r="B42" s="27">
        <v>15</v>
      </c>
      <c r="C42" s="42">
        <v>60</v>
      </c>
      <c r="D42" s="42">
        <v>0</v>
      </c>
      <c r="E42" s="42">
        <v>60</v>
      </c>
      <c r="F42" s="42">
        <v>0</v>
      </c>
      <c r="G42" s="43"/>
      <c r="H42" s="28"/>
      <c r="I42" s="29"/>
    </row>
    <row r="43" spans="1:9" x14ac:dyDescent="0.3">
      <c r="A43" s="57" t="s">
        <v>63</v>
      </c>
      <c r="B43" s="27">
        <v>8</v>
      </c>
      <c r="C43" s="42">
        <v>2.08</v>
      </c>
      <c r="D43" s="42">
        <v>0.16</v>
      </c>
      <c r="E43" s="42">
        <v>2.2400000000000002</v>
      </c>
      <c r="F43" s="42">
        <v>0</v>
      </c>
      <c r="G43" s="43"/>
      <c r="H43" s="28"/>
      <c r="I43" s="29"/>
    </row>
    <row r="44" spans="1:9" x14ac:dyDescent="0.3">
      <c r="A44" s="57" t="s">
        <v>64</v>
      </c>
      <c r="B44" s="472" t="s">
        <v>65</v>
      </c>
      <c r="C44" s="473"/>
      <c r="D44" s="473"/>
      <c r="E44" s="473"/>
      <c r="F44" s="474"/>
      <c r="G44" s="32"/>
      <c r="H44" s="44"/>
      <c r="I44" s="29"/>
    </row>
    <row r="45" spans="1:9" ht="18" thickBot="1" x14ac:dyDescent="0.4">
      <c r="A45" s="57" t="s">
        <v>66</v>
      </c>
      <c r="B45" s="59">
        <v>40</v>
      </c>
      <c r="C45" s="480" t="s">
        <v>72</v>
      </c>
      <c r="D45" s="481"/>
      <c r="E45" s="481"/>
      <c r="F45" s="482"/>
      <c r="G45" s="28"/>
      <c r="H45" s="45"/>
      <c r="I45" s="35"/>
    </row>
    <row r="46" spans="1:9" ht="18" thickBot="1" x14ac:dyDescent="0.4">
      <c r="A46" s="28"/>
      <c r="B46" s="60" t="s">
        <v>76</v>
      </c>
      <c r="C46" s="26">
        <v>837.53000000000009</v>
      </c>
      <c r="D46" s="26">
        <v>143.56</v>
      </c>
      <c r="E46" s="26">
        <v>547.28</v>
      </c>
      <c r="F46" s="61">
        <v>146.70000000000002</v>
      </c>
      <c r="G46" s="46"/>
      <c r="H46" s="47"/>
      <c r="I46" s="29"/>
    </row>
    <row r="47" spans="1:9" ht="17.399999999999999" thickBot="1" x14ac:dyDescent="0.35">
      <c r="A47" s="28"/>
      <c r="B47" s="483" t="s">
        <v>68</v>
      </c>
      <c r="C47" s="484"/>
      <c r="D47" s="67">
        <v>0.17140878535694243</v>
      </c>
      <c r="E47" s="68">
        <v>0.65344524972239793</v>
      </c>
      <c r="F47" s="68">
        <v>0.17515790479147017</v>
      </c>
      <c r="G47" s="48"/>
    </row>
    <row r="48" spans="1:9" x14ac:dyDescent="0.3">
      <c r="A48" s="28"/>
      <c r="B48" s="29"/>
      <c r="C48" s="29"/>
      <c r="D48" s="29"/>
      <c r="E48" s="29"/>
      <c r="F48" s="28"/>
      <c r="G48" s="28"/>
    </row>
    <row r="49" spans="1:9" x14ac:dyDescent="0.3">
      <c r="E49" s="24" t="s">
        <v>91</v>
      </c>
      <c r="F49" s="25" t="s">
        <v>84</v>
      </c>
    </row>
    <row r="50" spans="1:9" x14ac:dyDescent="0.3">
      <c r="E50" s="24" t="s">
        <v>70</v>
      </c>
      <c r="F50" s="25" t="s">
        <v>85</v>
      </c>
    </row>
    <row r="53" spans="1:9" x14ac:dyDescent="0.3">
      <c r="A53" s="18" t="s">
        <v>97</v>
      </c>
      <c r="B53" s="69" t="s">
        <v>56</v>
      </c>
      <c r="C53" s="69" t="s">
        <v>76</v>
      </c>
      <c r="D53" s="69" t="s">
        <v>57</v>
      </c>
      <c r="E53" s="69" t="s">
        <v>89</v>
      </c>
      <c r="F53" s="69" t="s">
        <v>77</v>
      </c>
      <c r="G53" s="5"/>
      <c r="H53" s="21"/>
      <c r="I53" s="21"/>
    </row>
    <row r="54" spans="1:9" x14ac:dyDescent="0.3">
      <c r="A54" s="69" t="s">
        <v>86</v>
      </c>
      <c r="B54" s="69">
        <v>100</v>
      </c>
      <c r="C54" s="69">
        <v>217</v>
      </c>
      <c r="D54" s="69">
        <v>119.2</v>
      </c>
      <c r="E54" s="69">
        <v>93.6</v>
      </c>
      <c r="F54" s="69">
        <v>4.5</v>
      </c>
      <c r="G54" s="32"/>
      <c r="H54" s="21"/>
      <c r="I54" s="21"/>
    </row>
    <row r="55" spans="1:9" x14ac:dyDescent="0.3">
      <c r="A55" s="69" t="s">
        <v>87</v>
      </c>
      <c r="B55" s="69">
        <v>500</v>
      </c>
      <c r="C55" s="69">
        <v>387</v>
      </c>
      <c r="D55" s="69">
        <v>0</v>
      </c>
      <c r="E55" s="69">
        <v>380.8</v>
      </c>
      <c r="F55" s="69">
        <v>0</v>
      </c>
      <c r="G55" s="32"/>
      <c r="H55" s="21"/>
      <c r="I55" s="21"/>
    </row>
    <row r="56" spans="1:9" x14ac:dyDescent="0.3">
      <c r="A56" s="69" t="s">
        <v>63</v>
      </c>
      <c r="B56" s="69">
        <v>10</v>
      </c>
      <c r="C56" s="69">
        <v>2.6</v>
      </c>
      <c r="D56" s="69">
        <v>0.2</v>
      </c>
      <c r="E56" s="69">
        <v>2.8</v>
      </c>
      <c r="F56" s="69">
        <v>0</v>
      </c>
      <c r="G56" s="32"/>
      <c r="H56" s="21"/>
      <c r="I56" s="21"/>
    </row>
    <row r="57" spans="1:9" ht="17.399999999999999" thickBot="1" x14ac:dyDescent="0.35">
      <c r="A57" s="69" t="s">
        <v>88</v>
      </c>
      <c r="B57" s="486" t="s">
        <v>65</v>
      </c>
      <c r="C57" s="487"/>
      <c r="D57" s="487"/>
      <c r="E57" s="487"/>
      <c r="F57" s="488"/>
      <c r="G57" s="32"/>
      <c r="H57" s="21"/>
      <c r="I57" s="21"/>
    </row>
    <row r="58" spans="1:9" ht="17.399999999999999" thickBot="1" x14ac:dyDescent="0.35">
      <c r="A58" s="70"/>
      <c r="B58" s="71" t="s">
        <v>76</v>
      </c>
      <c r="C58" s="72">
        <v>606.6</v>
      </c>
      <c r="D58" s="72">
        <v>119.4</v>
      </c>
      <c r="E58" s="73">
        <v>477.2</v>
      </c>
      <c r="F58" s="74">
        <v>4.5</v>
      </c>
      <c r="G58" s="49"/>
      <c r="H58" s="21"/>
      <c r="I58" s="21"/>
    </row>
    <row r="59" spans="1:9" ht="17.399999999999999" thickBot="1" x14ac:dyDescent="0.35">
      <c r="A59" s="70"/>
      <c r="B59" s="478" t="s">
        <v>68</v>
      </c>
      <c r="C59" s="479"/>
      <c r="D59" s="62">
        <v>0.19683481701285857</v>
      </c>
      <c r="E59" s="75">
        <v>0.78667985492911308</v>
      </c>
      <c r="F59" s="63">
        <v>7.418397626112759E-3</v>
      </c>
      <c r="G59" s="50"/>
    </row>
    <row r="60" spans="1:9" x14ac:dyDescent="0.3">
      <c r="A60" s="23"/>
      <c r="B60" s="23"/>
      <c r="C60" s="23"/>
      <c r="D60" s="23"/>
      <c r="E60" s="23"/>
      <c r="F60" s="23"/>
      <c r="G60" s="23"/>
    </row>
    <row r="61" spans="1:9" x14ac:dyDescent="0.3">
      <c r="E61" s="24" t="s">
        <v>91</v>
      </c>
      <c r="F61" s="25" t="s">
        <v>90</v>
      </c>
    </row>
    <row r="62" spans="1:9" x14ac:dyDescent="0.3">
      <c r="E62" s="24" t="s">
        <v>70</v>
      </c>
      <c r="F62" s="25" t="s">
        <v>85</v>
      </c>
    </row>
  </sheetData>
  <mergeCells count="11">
    <mergeCell ref="B9:F9"/>
    <mergeCell ref="C10:F10"/>
    <mergeCell ref="B12:C12"/>
    <mergeCell ref="B26:F26"/>
    <mergeCell ref="B59:C59"/>
    <mergeCell ref="B44:F44"/>
    <mergeCell ref="C27:F27"/>
    <mergeCell ref="C45:F45"/>
    <mergeCell ref="B47:C47"/>
    <mergeCell ref="B29:C29"/>
    <mergeCell ref="B57:F5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B8" workbookViewId="0">
      <selection activeCell="C45" sqref="C45"/>
    </sheetView>
  </sheetViews>
  <sheetFormatPr baseColWidth="10" defaultColWidth="8.6640625" defaultRowHeight="13.8" x14ac:dyDescent="0.25"/>
  <cols>
    <col min="1" max="1" width="20.109375" style="77" bestFit="1" customWidth="1"/>
    <col min="2" max="2" width="35.88671875" style="77" bestFit="1" customWidth="1"/>
    <col min="3" max="3" width="84.109375" style="77" bestFit="1" customWidth="1"/>
    <col min="4" max="4" width="41.109375" style="77" bestFit="1" customWidth="1"/>
    <col min="5" max="5" width="22.33203125" style="77" bestFit="1" customWidth="1"/>
    <col min="6" max="6" width="35.88671875" style="77" bestFit="1" customWidth="1"/>
    <col min="7" max="7" width="28.6640625" style="77" bestFit="1" customWidth="1"/>
    <col min="8" max="16384" width="8.6640625" style="77"/>
  </cols>
  <sheetData>
    <row r="1" spans="1:7" ht="14.4" thickBot="1" x14ac:dyDescent="0.3">
      <c r="A1" s="81" t="s">
        <v>16</v>
      </c>
      <c r="B1" s="82" t="s">
        <v>50</v>
      </c>
    </row>
    <row r="3" spans="1:7" x14ac:dyDescent="0.25">
      <c r="A3" s="83" t="s">
        <v>17</v>
      </c>
      <c r="B3" s="83" t="s">
        <v>99</v>
      </c>
    </row>
    <row r="5" spans="1:7" x14ac:dyDescent="0.25">
      <c r="A5" s="78" t="s">
        <v>27</v>
      </c>
      <c r="B5" s="78"/>
      <c r="C5" s="78"/>
      <c r="D5" s="78" t="s">
        <v>20</v>
      </c>
      <c r="E5" s="78" t="s">
        <v>21</v>
      </c>
      <c r="F5" s="78" t="s">
        <v>2</v>
      </c>
      <c r="G5" s="80" t="s">
        <v>23</v>
      </c>
    </row>
    <row r="6" spans="1:7" x14ac:dyDescent="0.25">
      <c r="A6" s="78" t="s">
        <v>26</v>
      </c>
      <c r="B6" s="84" t="s">
        <v>4</v>
      </c>
      <c r="C6" s="84" t="s">
        <v>18</v>
      </c>
      <c r="D6" s="84" t="s">
        <v>19</v>
      </c>
      <c r="E6" s="84" t="s">
        <v>25</v>
      </c>
      <c r="F6" s="84" t="s">
        <v>22</v>
      </c>
      <c r="G6" s="85" t="s">
        <v>24</v>
      </c>
    </row>
    <row r="7" spans="1:7" x14ac:dyDescent="0.25">
      <c r="B7" s="4" t="s">
        <v>31</v>
      </c>
      <c r="C7" s="86"/>
      <c r="D7" s="86" t="s">
        <v>19</v>
      </c>
      <c r="E7" s="86" t="s">
        <v>25</v>
      </c>
      <c r="F7" s="86" t="s">
        <v>22</v>
      </c>
      <c r="G7" s="87" t="s">
        <v>24</v>
      </c>
    </row>
    <row r="9" spans="1:7" x14ac:dyDescent="0.25">
      <c r="C9" s="76" t="s">
        <v>52</v>
      </c>
    </row>
    <row r="10" spans="1:7" x14ac:dyDescent="0.25">
      <c r="C10" s="76" t="s">
        <v>98</v>
      </c>
    </row>
    <row r="11" spans="1:7" s="88" customFormat="1" x14ac:dyDescent="0.25">
      <c r="B11" s="84" t="s">
        <v>4</v>
      </c>
      <c r="C11" s="84" t="s">
        <v>18</v>
      </c>
      <c r="D11" s="84" t="s">
        <v>19</v>
      </c>
      <c r="E11" s="84" t="s">
        <v>25</v>
      </c>
      <c r="F11" s="84" t="s">
        <v>22</v>
      </c>
      <c r="G11" s="85" t="s">
        <v>24</v>
      </c>
    </row>
    <row r="12" spans="1:7" s="1" customFormat="1" x14ac:dyDescent="0.25">
      <c r="B12" s="4" t="s">
        <v>31</v>
      </c>
      <c r="C12" s="86"/>
      <c r="D12" s="6" t="s">
        <v>19</v>
      </c>
      <c r="E12" s="6" t="s">
        <v>25</v>
      </c>
      <c r="F12" s="6" t="s">
        <v>22</v>
      </c>
      <c r="G12" s="7" t="s">
        <v>24</v>
      </c>
    </row>
    <row r="15" spans="1:7" x14ac:dyDescent="0.25">
      <c r="A15" s="83" t="s">
        <v>28</v>
      </c>
      <c r="B15" s="89" t="s">
        <v>29</v>
      </c>
    </row>
    <row r="17" spans="2:4" x14ac:dyDescent="0.25">
      <c r="B17" s="16" t="s">
        <v>15</v>
      </c>
      <c r="C17" s="84" t="s">
        <v>30</v>
      </c>
      <c r="D17" s="3" t="s">
        <v>31</v>
      </c>
    </row>
    <row r="18" spans="2:4" x14ac:dyDescent="0.25">
      <c r="B18" s="16" t="s">
        <v>35</v>
      </c>
      <c r="C18" s="90" t="s">
        <v>36</v>
      </c>
      <c r="D18" s="3" t="s">
        <v>36</v>
      </c>
    </row>
    <row r="19" spans="2:4" x14ac:dyDescent="0.25">
      <c r="B19" s="16" t="s">
        <v>37</v>
      </c>
      <c r="C19" s="90" t="s">
        <v>38</v>
      </c>
      <c r="D19" s="3" t="s">
        <v>38</v>
      </c>
    </row>
    <row r="21" spans="2:4" x14ac:dyDescent="0.25">
      <c r="B21" s="78" t="s">
        <v>32</v>
      </c>
      <c r="C21" s="91" t="s">
        <v>34</v>
      </c>
      <c r="D21" s="4" t="s">
        <v>33</v>
      </c>
    </row>
    <row r="22" spans="2:4" x14ac:dyDescent="0.25">
      <c r="B22" s="70" t="s">
        <v>39</v>
      </c>
      <c r="C22" s="91" t="s">
        <v>40</v>
      </c>
      <c r="D22" s="4" t="s">
        <v>40</v>
      </c>
    </row>
    <row r="23" spans="2:4" x14ac:dyDescent="0.25">
      <c r="B23" s="70" t="s">
        <v>7</v>
      </c>
      <c r="C23" s="92" t="s">
        <v>41</v>
      </c>
      <c r="D23" s="93" t="s">
        <v>41</v>
      </c>
    </row>
    <row r="24" spans="2:4" x14ac:dyDescent="0.25">
      <c r="B24" s="70" t="s">
        <v>8</v>
      </c>
      <c r="C24" s="92" t="s">
        <v>42</v>
      </c>
      <c r="D24" s="93" t="s">
        <v>42</v>
      </c>
    </row>
    <row r="26" spans="2:4" x14ac:dyDescent="0.25">
      <c r="B26" s="70" t="s">
        <v>43</v>
      </c>
      <c r="C26" s="77" t="s">
        <v>45</v>
      </c>
    </row>
    <row r="27" spans="2:4" x14ac:dyDescent="0.25">
      <c r="B27" s="70" t="s">
        <v>44</v>
      </c>
      <c r="C27" s="79" t="s">
        <v>51</v>
      </c>
    </row>
    <row r="30" spans="2:4" x14ac:dyDescent="0.25">
      <c r="B30" s="17" t="s">
        <v>9</v>
      </c>
      <c r="C30" s="94" t="s">
        <v>30</v>
      </c>
      <c r="D30" s="9" t="s">
        <v>31</v>
      </c>
    </row>
    <row r="31" spans="2:4" x14ac:dyDescent="0.25">
      <c r="B31" s="17" t="s">
        <v>0</v>
      </c>
      <c r="C31" s="95" t="s">
        <v>46</v>
      </c>
      <c r="D31" s="12" t="s">
        <v>46</v>
      </c>
    </row>
    <row r="32" spans="2:4" x14ac:dyDescent="0.25">
      <c r="B32" s="17" t="s">
        <v>1</v>
      </c>
      <c r="C32" s="95" t="s">
        <v>47</v>
      </c>
      <c r="D32" s="12" t="s">
        <v>47</v>
      </c>
    </row>
    <row r="33" spans="2:4" x14ac:dyDescent="0.25">
      <c r="B33" s="17" t="s">
        <v>2</v>
      </c>
      <c r="C33" s="95" t="s">
        <v>22</v>
      </c>
      <c r="D33" s="12" t="s">
        <v>22</v>
      </c>
    </row>
    <row r="34" spans="2:4" x14ac:dyDescent="0.25">
      <c r="B34" s="17" t="s">
        <v>3</v>
      </c>
      <c r="C34" s="94" t="s">
        <v>24</v>
      </c>
      <c r="D34" s="11" t="s">
        <v>24</v>
      </c>
    </row>
    <row r="35" spans="2:4" x14ac:dyDescent="0.25">
      <c r="B35" s="17" t="s">
        <v>6</v>
      </c>
      <c r="C35" s="94" t="s">
        <v>48</v>
      </c>
      <c r="D35" s="11" t="s">
        <v>48</v>
      </c>
    </row>
    <row r="36" spans="2:4" x14ac:dyDescent="0.25">
      <c r="B36" s="17" t="s">
        <v>10</v>
      </c>
      <c r="C36" s="95" t="s">
        <v>49</v>
      </c>
      <c r="D36" s="12" t="s">
        <v>49</v>
      </c>
    </row>
    <row r="37" spans="2:4" x14ac:dyDescent="0.25">
      <c r="B37" s="17" t="s">
        <v>14</v>
      </c>
      <c r="C37" s="410" t="s">
        <v>14</v>
      </c>
      <c r="D37" s="416" t="s">
        <v>14</v>
      </c>
    </row>
    <row r="38" spans="2:4" x14ac:dyDescent="0.25">
      <c r="B38" s="17" t="s">
        <v>5</v>
      </c>
      <c r="C38" s="410" t="s">
        <v>179</v>
      </c>
      <c r="D38" s="416" t="s">
        <v>178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C1:Z46"/>
  <sheetViews>
    <sheetView workbookViewId="0">
      <pane ySplit="2" topLeftCell="A3" activePane="bottomLeft" state="frozen"/>
      <selection activeCell="I22" sqref="I22"/>
      <selection pane="bottomLeft" activeCell="G37" sqref="G37"/>
    </sheetView>
  </sheetViews>
  <sheetFormatPr baseColWidth="10" defaultColWidth="8.6640625" defaultRowHeight="13.8" x14ac:dyDescent="0.25"/>
  <cols>
    <col min="1" max="2" width="8.6640625" style="77"/>
    <col min="3" max="3" width="12.6640625" style="78" bestFit="1" customWidth="1"/>
    <col min="4" max="4" width="13.5546875" style="78" bestFit="1" customWidth="1"/>
    <col min="5" max="5" width="23.5546875" style="78" bestFit="1" customWidth="1"/>
    <col min="6" max="6" width="14.88671875" style="120" bestFit="1" customWidth="1"/>
    <col min="7" max="7" width="8.6640625" style="77"/>
    <col min="8" max="8" width="13.88671875" style="77" bestFit="1" customWidth="1"/>
    <col min="9" max="9" width="13.5546875" style="77" bestFit="1" customWidth="1"/>
    <col min="10" max="10" width="23.5546875" style="77" bestFit="1" customWidth="1"/>
    <col min="11" max="11" width="14.88671875" style="77" bestFit="1" customWidth="1"/>
    <col min="12" max="12" width="28.109375" style="77" customWidth="1"/>
    <col min="13" max="13" width="12.6640625" style="77" bestFit="1" customWidth="1"/>
    <col min="14" max="14" width="13.5546875" style="77" bestFit="1" customWidth="1"/>
    <col min="15" max="15" width="23.5546875" style="77" bestFit="1" customWidth="1"/>
    <col min="16" max="16" width="14.88671875" style="77" bestFit="1" customWidth="1"/>
    <col min="17" max="17" width="8.6640625" style="77"/>
    <col min="18" max="18" width="12.6640625" style="77" bestFit="1" customWidth="1"/>
    <col min="19" max="19" width="13.5546875" style="77" bestFit="1" customWidth="1"/>
    <col min="20" max="20" width="23.5546875" style="77" bestFit="1" customWidth="1"/>
    <col min="21" max="21" width="14.88671875" style="77" bestFit="1" customWidth="1"/>
    <col min="22" max="22" width="8.6640625" style="77"/>
    <col min="23" max="23" width="12.6640625" style="77" bestFit="1" customWidth="1"/>
    <col min="24" max="24" width="13.5546875" style="77" bestFit="1" customWidth="1"/>
    <col min="25" max="25" width="23.5546875" style="77" bestFit="1" customWidth="1"/>
    <col min="26" max="26" width="14.88671875" style="77" bestFit="1" customWidth="1"/>
    <col min="27" max="16384" width="8.6640625" style="77"/>
  </cols>
  <sheetData>
    <row r="1" spans="3:26" ht="14.4" x14ac:dyDescent="0.3">
      <c r="C1" s="432"/>
      <c r="D1" s="490" t="s">
        <v>180</v>
      </c>
      <c r="E1" s="490"/>
      <c r="F1" s="490"/>
      <c r="I1" s="494" t="s">
        <v>182</v>
      </c>
      <c r="J1" s="494"/>
      <c r="K1" s="494"/>
      <c r="N1" s="494" t="s">
        <v>183</v>
      </c>
      <c r="O1" s="494"/>
      <c r="P1" s="494"/>
      <c r="S1" s="494" t="s">
        <v>184</v>
      </c>
      <c r="T1" s="494"/>
      <c r="U1" s="494"/>
      <c r="X1" s="494" t="s">
        <v>185</v>
      </c>
      <c r="Y1" s="494"/>
      <c r="Z1" s="494"/>
    </row>
    <row r="2" spans="3:26" ht="15" x14ac:dyDescent="0.25">
      <c r="C2" s="16" t="s">
        <v>15</v>
      </c>
      <c r="D2" s="151" t="s">
        <v>102</v>
      </c>
      <c r="E2" s="151" t="s">
        <v>103</v>
      </c>
      <c r="F2" s="149" t="s">
        <v>101</v>
      </c>
      <c r="H2" s="431" t="s">
        <v>15</v>
      </c>
      <c r="I2" s="418" t="s">
        <v>102</v>
      </c>
      <c r="J2" s="418" t="s">
        <v>103</v>
      </c>
      <c r="K2" s="425" t="s">
        <v>101</v>
      </c>
      <c r="M2" s="430" t="s">
        <v>15</v>
      </c>
      <c r="N2" s="418" t="s">
        <v>102</v>
      </c>
      <c r="O2" s="418" t="s">
        <v>103</v>
      </c>
      <c r="P2" s="425" t="s">
        <v>101</v>
      </c>
      <c r="R2" s="430" t="s">
        <v>15</v>
      </c>
      <c r="S2" s="421" t="s">
        <v>102</v>
      </c>
      <c r="T2" s="421" t="s">
        <v>103</v>
      </c>
      <c r="U2" s="425" t="s">
        <v>101</v>
      </c>
      <c r="W2" s="417" t="s">
        <v>15</v>
      </c>
      <c r="X2" s="418" t="s">
        <v>102</v>
      </c>
      <c r="Y2" s="418" t="s">
        <v>103</v>
      </c>
      <c r="Z2" s="425" t="s">
        <v>101</v>
      </c>
    </row>
    <row r="3" spans="3:26" ht="15" x14ac:dyDescent="0.25">
      <c r="C3" s="16">
        <v>1</v>
      </c>
      <c r="D3" s="150"/>
      <c r="E3" s="102">
        <v>1</v>
      </c>
      <c r="F3" s="303">
        <v>1</v>
      </c>
      <c r="H3" s="431">
        <v>1</v>
      </c>
      <c r="I3" s="417"/>
      <c r="J3" s="448">
        <v>0.90909090909090906</v>
      </c>
      <c r="K3" s="116">
        <v>0</v>
      </c>
      <c r="M3" s="495">
        <v>1</v>
      </c>
      <c r="N3" s="417"/>
      <c r="O3" s="448">
        <v>1</v>
      </c>
      <c r="P3" s="116">
        <v>0</v>
      </c>
      <c r="R3" s="430">
        <v>1</v>
      </c>
      <c r="S3" s="430"/>
      <c r="T3" s="85">
        <v>1</v>
      </c>
      <c r="U3" s="116">
        <v>0</v>
      </c>
      <c r="W3" s="417">
        <v>1</v>
      </c>
      <c r="X3" s="417"/>
      <c r="Y3" s="450">
        <v>0.76923076923076927</v>
      </c>
      <c r="Z3" s="441">
        <v>0</v>
      </c>
    </row>
    <row r="4" spans="3:26" x14ac:dyDescent="0.25">
      <c r="C4" s="489">
        <v>2</v>
      </c>
      <c r="D4" s="150"/>
      <c r="E4" s="179">
        <v>0.63636363636363635</v>
      </c>
      <c r="F4" s="303"/>
      <c r="H4" s="491">
        <v>2</v>
      </c>
      <c r="I4" s="448">
        <v>0.9</v>
      </c>
      <c r="J4" s="448">
        <v>0.90909090909090906</v>
      </c>
      <c r="K4" s="116">
        <v>0</v>
      </c>
      <c r="M4" s="495"/>
      <c r="N4" s="417"/>
      <c r="O4" s="448">
        <v>1</v>
      </c>
      <c r="P4" s="118"/>
      <c r="R4" s="495">
        <v>2</v>
      </c>
      <c r="S4" s="85">
        <v>1</v>
      </c>
      <c r="T4" s="85">
        <v>0.95</v>
      </c>
      <c r="U4" s="116">
        <v>0</v>
      </c>
      <c r="W4" s="417">
        <v>2</v>
      </c>
      <c r="X4" s="417"/>
      <c r="Y4" s="448">
        <v>0.83333333333333337</v>
      </c>
      <c r="Z4" s="441">
        <v>0</v>
      </c>
    </row>
    <row r="5" spans="3:26" x14ac:dyDescent="0.25">
      <c r="C5" s="489"/>
      <c r="D5" s="150"/>
      <c r="E5" s="150"/>
      <c r="F5" s="118"/>
      <c r="H5" s="492"/>
      <c r="I5" s="417"/>
      <c r="J5" s="448">
        <v>1</v>
      </c>
      <c r="K5" s="116">
        <v>0</v>
      </c>
      <c r="M5" s="495">
        <v>2</v>
      </c>
      <c r="N5" s="448">
        <v>1</v>
      </c>
      <c r="O5" s="448">
        <v>0.95</v>
      </c>
      <c r="P5" s="116">
        <v>0</v>
      </c>
      <c r="R5" s="495"/>
      <c r="S5" s="85">
        <v>1</v>
      </c>
      <c r="T5" s="97">
        <v>0.83333333333333337</v>
      </c>
      <c r="U5" s="116">
        <v>0</v>
      </c>
      <c r="W5" s="417">
        <v>3</v>
      </c>
      <c r="X5" s="417"/>
      <c r="Y5" s="417"/>
      <c r="Z5" s="439"/>
    </row>
    <row r="6" spans="3:26" x14ac:dyDescent="0.25">
      <c r="C6" s="489">
        <v>3</v>
      </c>
      <c r="D6" s="150"/>
      <c r="E6" s="150"/>
      <c r="F6" s="118"/>
      <c r="H6" s="493">
        <v>3</v>
      </c>
      <c r="I6" s="450">
        <v>1</v>
      </c>
      <c r="J6" s="448">
        <v>1</v>
      </c>
      <c r="K6" s="116">
        <v>0</v>
      </c>
      <c r="M6" s="495"/>
      <c r="N6" s="448">
        <v>1</v>
      </c>
      <c r="O6" s="448">
        <v>0.95652173913043481</v>
      </c>
      <c r="P6" s="116">
        <v>0</v>
      </c>
      <c r="R6" s="430">
        <v>3</v>
      </c>
      <c r="S6" s="97">
        <v>0.9</v>
      </c>
      <c r="T6" s="85">
        <v>1</v>
      </c>
      <c r="U6" s="116">
        <v>0</v>
      </c>
      <c r="W6" s="489">
        <v>4</v>
      </c>
      <c r="X6" s="417"/>
      <c r="Y6" s="450">
        <v>1</v>
      </c>
      <c r="Z6" s="446">
        <v>0.3125</v>
      </c>
    </row>
    <row r="7" spans="3:26" x14ac:dyDescent="0.25">
      <c r="C7" s="489"/>
      <c r="D7" s="150"/>
      <c r="E7" s="150"/>
      <c r="F7" s="118"/>
      <c r="H7" s="493"/>
      <c r="I7" s="448">
        <v>0.90909090909090906</v>
      </c>
      <c r="J7" s="417"/>
      <c r="K7" s="116">
        <v>0</v>
      </c>
      <c r="M7" s="495"/>
      <c r="N7" s="448">
        <v>0.95833333333333337</v>
      </c>
      <c r="O7" s="450">
        <v>0.90909090909090906</v>
      </c>
      <c r="P7" s="116">
        <v>0</v>
      </c>
      <c r="R7" s="105"/>
      <c r="S7" s="105"/>
      <c r="T7" s="105"/>
      <c r="U7" s="131"/>
      <c r="W7" s="489"/>
      <c r="X7" s="417"/>
      <c r="Y7" s="448">
        <v>0.84615384615384615</v>
      </c>
      <c r="Z7" s="441">
        <v>0</v>
      </c>
    </row>
    <row r="8" spans="3:26" x14ac:dyDescent="0.25">
      <c r="C8" s="489">
        <v>4</v>
      </c>
      <c r="D8" s="150"/>
      <c r="E8" s="102">
        <v>1</v>
      </c>
      <c r="F8" s="303">
        <v>1</v>
      </c>
      <c r="I8" s="104"/>
      <c r="J8" s="104"/>
      <c r="K8" s="304"/>
      <c r="M8" s="430">
        <v>3</v>
      </c>
      <c r="N8" s="448">
        <v>0.95454545454545459</v>
      </c>
      <c r="O8" s="417"/>
      <c r="P8" s="118"/>
      <c r="R8" s="105" t="s">
        <v>5</v>
      </c>
      <c r="S8" s="106">
        <f>AVERAGE(S3:S6)</f>
        <v>0.96666666666666667</v>
      </c>
      <c r="T8" s="106">
        <f>AVERAGE(T3:T6)</f>
        <v>0.9458333333333333</v>
      </c>
      <c r="U8" s="132">
        <f>AVERAGE(U3:U6)</f>
        <v>0</v>
      </c>
      <c r="W8" s="489"/>
      <c r="X8" s="417"/>
      <c r="Y8" s="180"/>
      <c r="Z8" s="439"/>
    </row>
    <row r="9" spans="3:26" x14ac:dyDescent="0.25">
      <c r="C9" s="489"/>
      <c r="D9" s="150"/>
      <c r="E9" s="102">
        <v>0.86956521739130432</v>
      </c>
      <c r="F9" s="116">
        <v>0.94736842105263153</v>
      </c>
      <c r="I9" s="293">
        <f>AVERAGE(I3:I7)</f>
        <v>0.9363636363636364</v>
      </c>
      <c r="J9" s="293">
        <f>AVERAGE(J3:J7)</f>
        <v>0.95454545454545459</v>
      </c>
      <c r="K9" s="132">
        <f>AVERAGE(K3:K7)</f>
        <v>0</v>
      </c>
      <c r="M9" s="111"/>
      <c r="N9" s="104"/>
      <c r="O9" s="104"/>
      <c r="P9" s="120"/>
      <c r="R9" s="105" t="s">
        <v>6</v>
      </c>
      <c r="S9" s="107">
        <f>STDEVA(S3:S6)</f>
        <v>5.7735026918962568E-2</v>
      </c>
      <c r="T9" s="107">
        <f>STDEVA(T3:T6)</f>
        <v>7.8616509433805021E-2</v>
      </c>
      <c r="U9" s="440">
        <f>STDEVA(U3:U6)</f>
        <v>0</v>
      </c>
      <c r="W9" s="489"/>
      <c r="X9" s="417"/>
      <c r="Y9" s="426"/>
      <c r="Z9" s="439"/>
    </row>
    <row r="10" spans="3:26" x14ac:dyDescent="0.25">
      <c r="C10" s="489"/>
      <c r="D10" s="150"/>
      <c r="E10" s="150"/>
      <c r="F10" s="119">
        <v>0.8571428571428571</v>
      </c>
      <c r="I10" s="436">
        <f>STDEVA(I3:I7)</f>
        <v>5.5297841184529267E-2</v>
      </c>
      <c r="J10" s="436">
        <f>STDEVA(J3:J7)</f>
        <v>5.2486388108147812E-2</v>
      </c>
      <c r="K10" s="440">
        <f>STDEVA(K3:K7)</f>
        <v>0</v>
      </c>
      <c r="M10" s="105" t="s">
        <v>5</v>
      </c>
      <c r="N10" s="293">
        <f>AVERAGE(N3:N8)</f>
        <v>0.97821969696969702</v>
      </c>
      <c r="O10" s="293">
        <f>AVERAGE(O3:O8)</f>
        <v>0.96312252964426881</v>
      </c>
      <c r="P10" s="132">
        <f>AVERAGE(P3:P8)</f>
        <v>0</v>
      </c>
      <c r="R10" s="105" t="s">
        <v>7</v>
      </c>
      <c r="S10" s="107">
        <f>IF(S8+S9&gt;1,1,S8+S9)</f>
        <v>1</v>
      </c>
      <c r="T10" s="107">
        <f>IF(T8+T9&gt;1,1,T8+T9)</f>
        <v>1</v>
      </c>
      <c r="U10" s="440">
        <f>IF(U8+U9&gt;1,1,U8+U9)</f>
        <v>0</v>
      </c>
      <c r="W10" s="489"/>
      <c r="X10" s="417"/>
      <c r="Y10" s="180"/>
      <c r="Z10" s="439"/>
    </row>
    <row r="11" spans="3:26" x14ac:dyDescent="0.25">
      <c r="C11" s="489"/>
      <c r="D11" s="150"/>
      <c r="E11" s="150"/>
      <c r="F11" s="118"/>
      <c r="I11" s="436">
        <f>IF(I9+I10&gt;1,1,I9+I10)</f>
        <v>0.99166147754816569</v>
      </c>
      <c r="J11" s="436">
        <f>IF(J9+J10&gt;1,1,J9+J10)</f>
        <v>1</v>
      </c>
      <c r="K11" s="440">
        <f>IF(K9+K10&gt;1,1,K9+K10)</f>
        <v>0</v>
      </c>
      <c r="M11" s="105" t="s">
        <v>6</v>
      </c>
      <c r="N11" s="436">
        <f>STDEVA(N3:N8)</f>
        <v>2.5197224802367538E-2</v>
      </c>
      <c r="O11" s="436">
        <f>STDEVA(O3:O8)</f>
        <v>3.8259256654338401E-2</v>
      </c>
      <c r="P11" s="440">
        <f>STDEVA(P3:P8)</f>
        <v>0</v>
      </c>
      <c r="R11" s="105" t="s">
        <v>8</v>
      </c>
      <c r="S11" s="107">
        <f>IF(S8-S9&lt;0,0,S8-S9)</f>
        <v>0.90893163974770408</v>
      </c>
      <c r="T11" s="107">
        <f>IF(T8-T9&lt;0,0,T8-T9)</f>
        <v>0.86721682389952826</v>
      </c>
      <c r="U11" s="440">
        <f>IF(U8-U9&lt;0,0,U8-U9)</f>
        <v>0</v>
      </c>
      <c r="W11" s="417">
        <v>5</v>
      </c>
      <c r="X11" s="448">
        <v>0.89473684210526316</v>
      </c>
      <c r="Y11" s="450">
        <v>1</v>
      </c>
      <c r="Z11" s="439"/>
    </row>
    <row r="12" spans="3:26" x14ac:dyDescent="0.25">
      <c r="C12" s="489"/>
      <c r="D12" s="150"/>
      <c r="E12" s="150"/>
      <c r="F12" s="118"/>
      <c r="I12" s="436">
        <f>IF(I9-I10&lt;0,0,I9-I10)</f>
        <v>0.8810657951791071</v>
      </c>
      <c r="J12" s="436">
        <f>IF(J9-J10&lt;0,0,J9-J10)</f>
        <v>0.90205906643730682</v>
      </c>
      <c r="K12" s="440">
        <f>IF(K9-K10&lt;0,0,K9-K10)</f>
        <v>0</v>
      </c>
      <c r="M12" s="105" t="s">
        <v>7</v>
      </c>
      <c r="N12" s="436">
        <f>IF(N10+N11&gt;1,1,N10+N11)</f>
        <v>1</v>
      </c>
      <c r="O12" s="436">
        <f>IF(O10+O11&gt;1,1,O10+O11)</f>
        <v>1</v>
      </c>
      <c r="P12" s="440">
        <f>IF(P10+P11&gt;1,1,P10+P11)</f>
        <v>0</v>
      </c>
      <c r="R12" s="105"/>
      <c r="S12" s="105"/>
      <c r="T12" s="108"/>
      <c r="U12" s="134"/>
      <c r="W12" s="417">
        <v>6</v>
      </c>
      <c r="X12" s="450">
        <v>1</v>
      </c>
      <c r="Y12" s="417"/>
      <c r="Z12" s="439"/>
    </row>
    <row r="13" spans="3:26" x14ac:dyDescent="0.25">
      <c r="C13" s="489"/>
      <c r="D13" s="150"/>
      <c r="E13" s="150"/>
      <c r="F13" s="118"/>
      <c r="I13" s="104"/>
      <c r="J13" s="295"/>
      <c r="K13" s="134"/>
      <c r="M13" s="105" t="s">
        <v>8</v>
      </c>
      <c r="N13" s="436">
        <f>IF(N10-N11&lt;0,0,N10-N11)</f>
        <v>0.95302247216732949</v>
      </c>
      <c r="O13" s="436">
        <f>IF(O10-O11&lt;0,0,O10-O11)</f>
        <v>0.92486327298993043</v>
      </c>
      <c r="P13" s="440">
        <f>IF(P10-P11&lt;0,0,P10-P11)</f>
        <v>0</v>
      </c>
      <c r="R13" s="10" t="s">
        <v>9</v>
      </c>
      <c r="S13" s="96" t="s">
        <v>102</v>
      </c>
      <c r="T13" s="96" t="s">
        <v>103</v>
      </c>
      <c r="U13" s="124" t="s">
        <v>101</v>
      </c>
      <c r="W13" s="417">
        <v>7</v>
      </c>
      <c r="X13" s="448">
        <v>0.90909090909090906</v>
      </c>
      <c r="Y13" s="180"/>
      <c r="Z13" s="439"/>
    </row>
    <row r="14" spans="3:26" x14ac:dyDescent="0.25">
      <c r="C14" s="16">
        <v>5</v>
      </c>
      <c r="D14" s="150"/>
      <c r="E14" s="150"/>
      <c r="F14" s="118"/>
      <c r="I14" s="183" t="s">
        <v>102</v>
      </c>
      <c r="J14" s="183" t="s">
        <v>103</v>
      </c>
      <c r="K14" s="124" t="s">
        <v>101</v>
      </c>
      <c r="M14" s="105"/>
      <c r="N14" s="104"/>
      <c r="O14" s="295"/>
      <c r="P14" s="134"/>
      <c r="R14" s="10" t="s">
        <v>0</v>
      </c>
      <c r="S14" s="94">
        <v>22</v>
      </c>
      <c r="T14" s="94">
        <v>45</v>
      </c>
      <c r="U14" s="414">
        <v>0</v>
      </c>
      <c r="W14" s="417">
        <v>8</v>
      </c>
      <c r="X14" s="417"/>
      <c r="Y14" s="417"/>
      <c r="Z14" s="439"/>
    </row>
    <row r="15" spans="3:26" x14ac:dyDescent="0.25">
      <c r="C15" s="489">
        <v>6</v>
      </c>
      <c r="D15" s="102">
        <v>1</v>
      </c>
      <c r="E15" s="150"/>
      <c r="F15" s="118"/>
      <c r="I15" s="305">
        <v>19</v>
      </c>
      <c r="J15" s="305">
        <v>48</v>
      </c>
      <c r="K15" s="414">
        <v>0</v>
      </c>
      <c r="M15" s="10" t="s">
        <v>9</v>
      </c>
      <c r="N15" s="183" t="s">
        <v>102</v>
      </c>
      <c r="O15" s="183" t="s">
        <v>103</v>
      </c>
      <c r="P15" s="124" t="s">
        <v>101</v>
      </c>
      <c r="R15" s="10" t="s">
        <v>1</v>
      </c>
      <c r="S15" s="94">
        <v>0</v>
      </c>
      <c r="T15" s="109">
        <v>1</v>
      </c>
      <c r="U15" s="135">
        <v>79</v>
      </c>
      <c r="W15" s="432"/>
      <c r="X15" s="432"/>
      <c r="Y15" s="432"/>
      <c r="Z15" s="127"/>
    </row>
    <row r="16" spans="3:26" x14ac:dyDescent="0.25">
      <c r="C16" s="489"/>
      <c r="D16" s="102">
        <v>1</v>
      </c>
      <c r="E16" s="150"/>
      <c r="F16" s="118"/>
      <c r="I16" s="305">
        <v>2</v>
      </c>
      <c r="J16" s="438">
        <v>3</v>
      </c>
      <c r="K16" s="135">
        <v>60</v>
      </c>
      <c r="M16" s="14" t="s">
        <v>0</v>
      </c>
      <c r="N16" s="305">
        <v>72</v>
      </c>
      <c r="O16" s="305">
        <v>58</v>
      </c>
      <c r="P16" s="414">
        <v>0</v>
      </c>
      <c r="R16" s="10" t="s">
        <v>2</v>
      </c>
      <c r="S16" s="94">
        <v>22</v>
      </c>
      <c r="T16" s="109">
        <v>46</v>
      </c>
      <c r="U16" s="135">
        <v>79</v>
      </c>
      <c r="W16" s="104" t="s">
        <v>5</v>
      </c>
      <c r="X16" s="293">
        <f t="shared" ref="X16:Z16" si="0">AVERAGE(X3:X14)</f>
        <v>0.93460925039872411</v>
      </c>
      <c r="Y16" s="293">
        <f t="shared" si="0"/>
        <v>0.8897435897435898</v>
      </c>
      <c r="Z16" s="132">
        <f t="shared" si="0"/>
        <v>7.8125E-2</v>
      </c>
    </row>
    <row r="17" spans="3:26" x14ac:dyDescent="0.25">
      <c r="C17" s="489"/>
      <c r="D17" s="150"/>
      <c r="E17" s="150"/>
      <c r="F17" s="118"/>
      <c r="I17" s="305">
        <v>21</v>
      </c>
      <c r="J17" s="438">
        <v>51</v>
      </c>
      <c r="K17" s="135">
        <v>60</v>
      </c>
      <c r="M17" s="14" t="s">
        <v>1</v>
      </c>
      <c r="N17" s="305">
        <v>2</v>
      </c>
      <c r="O17" s="438">
        <v>2</v>
      </c>
      <c r="P17" s="135">
        <v>92</v>
      </c>
      <c r="R17" s="10" t="s">
        <v>3</v>
      </c>
      <c r="S17" s="98">
        <f>S14/S16</f>
        <v>1</v>
      </c>
      <c r="T17" s="98">
        <f>T14/T16</f>
        <v>0.97826086956521741</v>
      </c>
      <c r="U17" s="126">
        <f>U14/U16</f>
        <v>0</v>
      </c>
      <c r="W17" s="104" t="s">
        <v>6</v>
      </c>
      <c r="X17" s="436">
        <f t="shared" ref="X17:Z17" si="1">STDEVA(X3:X14)</f>
        <v>5.7083030839468203E-2</v>
      </c>
      <c r="Y17" s="436">
        <f t="shared" si="1"/>
        <v>0.10478367559847439</v>
      </c>
      <c r="Z17" s="440">
        <f t="shared" si="1"/>
        <v>0.15625</v>
      </c>
    </row>
    <row r="18" spans="3:26" x14ac:dyDescent="0.25">
      <c r="C18" s="489">
        <v>7</v>
      </c>
      <c r="D18" s="102">
        <v>1</v>
      </c>
      <c r="E18" s="150"/>
      <c r="F18" s="128"/>
      <c r="G18" s="78"/>
      <c r="H18" s="78"/>
      <c r="I18" s="437">
        <f>I15/I17</f>
        <v>0.90476190476190477</v>
      </c>
      <c r="J18" s="437">
        <f>J15/J17</f>
        <v>0.94117647058823528</v>
      </c>
      <c r="K18" s="126">
        <f>K15/K17</f>
        <v>0</v>
      </c>
      <c r="M18" s="14" t="s">
        <v>2</v>
      </c>
      <c r="N18" s="305">
        <v>74</v>
      </c>
      <c r="O18" s="438">
        <v>60</v>
      </c>
      <c r="P18" s="135">
        <v>92</v>
      </c>
      <c r="R18" s="10" t="s">
        <v>6</v>
      </c>
      <c r="S18" s="98">
        <f>STDEVA(S4:S5)</f>
        <v>0</v>
      </c>
      <c r="T18" s="98">
        <f>STDEVA(T3:T4,T6)</f>
        <v>2.8867513459481315E-2</v>
      </c>
      <c r="U18" s="126">
        <f>STDEVA(U3:U6)</f>
        <v>0</v>
      </c>
      <c r="W18" s="104" t="s">
        <v>7</v>
      </c>
      <c r="X18" s="436">
        <f>IF(X16+X17&gt;1,1,X16+X17)</f>
        <v>0.99169228123819231</v>
      </c>
      <c r="Y18" s="436">
        <f>IF(Y16+Y17&gt;1,1,Y16+Y17)</f>
        <v>0.99452726534206415</v>
      </c>
      <c r="Z18" s="440">
        <f t="shared" ref="Z18" si="2">IF(Z16+Z17&gt;1,1,Z16+Z17)</f>
        <v>0.234375</v>
      </c>
    </row>
    <row r="19" spans="3:26" x14ac:dyDescent="0.25">
      <c r="C19" s="489"/>
      <c r="D19" s="102">
        <v>1</v>
      </c>
      <c r="E19" s="150"/>
      <c r="F19" s="130"/>
      <c r="G19" s="100"/>
      <c r="H19" s="100"/>
      <c r="I19" s="437">
        <f>STDEVA(I4,I7)</f>
        <v>6.428243465332213E-3</v>
      </c>
      <c r="J19" s="437">
        <f>STDEVA(J3:J6)</f>
        <v>5.2486388108147812E-2</v>
      </c>
      <c r="K19" s="435">
        <f>STDEVA(K3:K7)</f>
        <v>0</v>
      </c>
      <c r="M19" s="14" t="s">
        <v>3</v>
      </c>
      <c r="N19" s="437">
        <f>N16/N18</f>
        <v>0.97297297297297303</v>
      </c>
      <c r="O19" s="437">
        <f>O16/O18</f>
        <v>0.96666666666666667</v>
      </c>
      <c r="P19" s="126">
        <f>P16/P18</f>
        <v>0</v>
      </c>
      <c r="R19" s="10" t="s">
        <v>10</v>
      </c>
      <c r="S19" s="94">
        <v>2</v>
      </c>
      <c r="T19" s="109">
        <v>3</v>
      </c>
      <c r="U19" s="135">
        <v>4</v>
      </c>
      <c r="W19" s="104" t="s">
        <v>8</v>
      </c>
      <c r="X19" s="436">
        <f>IF(X16-X17&lt;0,0,X16-X17)</f>
        <v>0.87752621955925592</v>
      </c>
      <c r="Y19" s="436">
        <f t="shared" ref="Y19:Z19" si="3">IF(Y16-Y17&lt;0,0,Y16-Y17)</f>
        <v>0.78495991414511546</v>
      </c>
      <c r="Z19" s="440">
        <f t="shared" si="3"/>
        <v>0</v>
      </c>
    </row>
    <row r="20" spans="3:26" x14ac:dyDescent="0.25">
      <c r="C20" s="489"/>
      <c r="D20" s="102">
        <v>1</v>
      </c>
      <c r="E20" s="150"/>
      <c r="F20" s="130"/>
      <c r="G20" s="100"/>
      <c r="H20" s="100"/>
      <c r="I20" s="410">
        <v>2</v>
      </c>
      <c r="J20" s="438">
        <v>4</v>
      </c>
      <c r="K20" s="135">
        <v>5</v>
      </c>
      <c r="M20" s="14" t="s">
        <v>6</v>
      </c>
      <c r="N20" s="437">
        <f>STDEVA(N5:N8)</f>
        <v>2.5197224802367538E-2</v>
      </c>
      <c r="O20" s="437">
        <f>STDEVA(O3:O6)</f>
        <v>2.7115880060967629E-2</v>
      </c>
      <c r="P20" s="126">
        <f>_xlfn.STDEV.P(P3,P5:P7)</f>
        <v>0</v>
      </c>
      <c r="R20" s="17" t="s">
        <v>14</v>
      </c>
      <c r="S20" s="208">
        <f>MEDIAN(S4:S5)</f>
        <v>1</v>
      </c>
      <c r="T20" s="208">
        <f>MEDIAN(T3:T4,T6)</f>
        <v>1</v>
      </c>
      <c r="U20" s="232">
        <f>MEDIAN(U3:U6)</f>
        <v>0</v>
      </c>
      <c r="W20" s="104"/>
      <c r="X20" s="104"/>
      <c r="Y20" s="295"/>
      <c r="Z20" s="134"/>
    </row>
    <row r="21" spans="3:26" x14ac:dyDescent="0.25">
      <c r="C21" s="489"/>
      <c r="D21" s="150"/>
      <c r="E21" s="150"/>
      <c r="F21" s="130"/>
      <c r="G21" s="100"/>
      <c r="H21" s="100"/>
      <c r="I21" s="208">
        <f>MEDIAN(I4,I7)</f>
        <v>0.90454545454545454</v>
      </c>
      <c r="J21" s="208">
        <f>MEDIAN(J3:J6)</f>
        <v>0.95454545454545459</v>
      </c>
      <c r="K21" s="232">
        <f>MEDIAN(K3:K7)</f>
        <v>0</v>
      </c>
      <c r="M21" s="14" t="s">
        <v>10</v>
      </c>
      <c r="N21" s="305">
        <v>4</v>
      </c>
      <c r="O21" s="438">
        <v>4</v>
      </c>
      <c r="P21" s="135">
        <v>4</v>
      </c>
      <c r="R21" s="17" t="s">
        <v>5</v>
      </c>
      <c r="S21" s="208">
        <f>AVERAGE(S4:S5)</f>
        <v>1</v>
      </c>
      <c r="T21" s="208">
        <f>AVERAGE(T3:T4,T6)</f>
        <v>0.98333333333333339</v>
      </c>
      <c r="U21" s="232">
        <f>AVERAGE(U3:U6)</f>
        <v>0</v>
      </c>
      <c r="W21" s="17" t="s">
        <v>9</v>
      </c>
      <c r="X21" s="183" t="s">
        <v>102</v>
      </c>
      <c r="Y21" s="183" t="s">
        <v>103</v>
      </c>
      <c r="Z21" s="124" t="s">
        <v>101</v>
      </c>
    </row>
    <row r="22" spans="3:26" x14ac:dyDescent="0.25">
      <c r="C22" s="489">
        <v>8</v>
      </c>
      <c r="D22" s="102">
        <v>1</v>
      </c>
      <c r="E22" s="150"/>
      <c r="F22" s="130"/>
      <c r="G22" s="100"/>
      <c r="H22" s="100"/>
      <c r="I22" s="208">
        <f>AVERAGE(I4,I7)</f>
        <v>0.90454545454545454</v>
      </c>
      <c r="J22" s="208">
        <f>AVERAGE(J3:J6)</f>
        <v>0.95454545454545459</v>
      </c>
      <c r="K22" s="232">
        <f>AVERAGE(K3:K7)</f>
        <v>0</v>
      </c>
      <c r="M22" s="17" t="s">
        <v>14</v>
      </c>
      <c r="N22" s="208">
        <f>MEDIAN(N5:N8)</f>
        <v>0.97916666666666674</v>
      </c>
      <c r="O22" s="208">
        <f>MEDIAN(O3:O6)</f>
        <v>0.97826086956521741</v>
      </c>
      <c r="P22" s="232">
        <f>MEDIAN(P3,P5:P7)</f>
        <v>0</v>
      </c>
      <c r="W22" s="17" t="s">
        <v>0</v>
      </c>
      <c r="X22" s="305">
        <v>27</v>
      </c>
      <c r="Y22" s="305">
        <v>21</v>
      </c>
      <c r="Z22" s="414">
        <v>0</v>
      </c>
    </row>
    <row r="23" spans="3:26" x14ac:dyDescent="0.25">
      <c r="C23" s="489"/>
      <c r="D23" s="150"/>
      <c r="E23" s="150"/>
      <c r="F23" s="129"/>
      <c r="G23" s="78"/>
      <c r="H23" s="78"/>
      <c r="M23" s="17" t="s">
        <v>5</v>
      </c>
      <c r="N23" s="208">
        <f>AVERAGE(N5:N8)</f>
        <v>0.97821969696969702</v>
      </c>
      <c r="O23" s="208">
        <f>AVERAGE(O3:O6)</f>
        <v>0.97663043478260869</v>
      </c>
      <c r="P23" s="232">
        <f>AVERAGE(P3,P5:P7)</f>
        <v>0</v>
      </c>
      <c r="W23" s="17" t="s">
        <v>1</v>
      </c>
      <c r="X23" s="305">
        <v>3</v>
      </c>
      <c r="Y23" s="438">
        <v>4</v>
      </c>
      <c r="Z23" s="135">
        <v>37</v>
      </c>
    </row>
    <row r="24" spans="3:26" x14ac:dyDescent="0.25">
      <c r="C24" s="489"/>
      <c r="D24" s="150"/>
      <c r="E24" s="150"/>
      <c r="F24" s="129"/>
      <c r="G24" s="78"/>
      <c r="H24" s="78"/>
      <c r="W24" s="17" t="s">
        <v>2</v>
      </c>
      <c r="X24" s="305">
        <v>30</v>
      </c>
      <c r="Y24" s="438">
        <v>25</v>
      </c>
      <c r="Z24" s="135">
        <v>37</v>
      </c>
    </row>
    <row r="25" spans="3:26" x14ac:dyDescent="0.25">
      <c r="C25" s="16">
        <v>9</v>
      </c>
      <c r="D25" s="150"/>
      <c r="E25" s="150"/>
      <c r="F25" s="129"/>
      <c r="G25" s="78"/>
      <c r="H25" s="78"/>
      <c r="W25" s="17" t="s">
        <v>3</v>
      </c>
      <c r="X25" s="437">
        <f>X22/X24</f>
        <v>0.9</v>
      </c>
      <c r="Y25" s="437">
        <f t="shared" ref="Y25:Z25" si="4">Y22/Y24</f>
        <v>0.84</v>
      </c>
      <c r="Z25" s="126">
        <f t="shared" si="4"/>
        <v>0</v>
      </c>
    </row>
    <row r="26" spans="3:26" x14ac:dyDescent="0.25">
      <c r="C26" s="16">
        <v>10</v>
      </c>
      <c r="D26" s="180"/>
      <c r="E26" s="150"/>
      <c r="F26" s="129"/>
      <c r="G26" s="78"/>
      <c r="H26" s="78"/>
      <c r="W26" s="17" t="s">
        <v>6</v>
      </c>
      <c r="X26" s="437">
        <f>STDEVA(X11,X13)</f>
        <v>1.0149858103156158E-2</v>
      </c>
      <c r="Y26" s="437">
        <f>STDEVA(Y4,Y7)</f>
        <v>9.0654715536736541E-3</v>
      </c>
      <c r="Z26" s="126">
        <f>STDEVA(Z3:Z4,Z7)</f>
        <v>0</v>
      </c>
    </row>
    <row r="27" spans="3:26" x14ac:dyDescent="0.25">
      <c r="C27" s="16">
        <v>11</v>
      </c>
      <c r="D27" s="179">
        <v>0.95454545454545459</v>
      </c>
      <c r="E27" s="150"/>
      <c r="F27" s="118"/>
      <c r="W27" s="17" t="s">
        <v>10</v>
      </c>
      <c r="X27" s="305">
        <v>2</v>
      </c>
      <c r="Y27" s="438">
        <v>2</v>
      </c>
      <c r="Z27" s="135">
        <v>3</v>
      </c>
    </row>
    <row r="28" spans="3:26" x14ac:dyDescent="0.25">
      <c r="C28" s="16">
        <v>12</v>
      </c>
      <c r="D28" s="180"/>
      <c r="E28" s="150"/>
      <c r="F28" s="118"/>
      <c r="W28" s="17" t="s">
        <v>14</v>
      </c>
      <c r="X28" s="208">
        <f>MEDIAN(X11,X13)</f>
        <v>0.90191387559808611</v>
      </c>
      <c r="Y28" s="208">
        <f>MEDIAN(Y4,Y7)</f>
        <v>0.83974358974358976</v>
      </c>
      <c r="Z28" s="271">
        <f>MEDIAN(Z3:Z4,Z7)</f>
        <v>0</v>
      </c>
    </row>
    <row r="29" spans="3:26" x14ac:dyDescent="0.25">
      <c r="C29" s="16">
        <v>13</v>
      </c>
      <c r="D29" s="150"/>
      <c r="E29" s="150"/>
      <c r="F29" s="118"/>
      <c r="W29" s="17" t="s">
        <v>5</v>
      </c>
      <c r="X29" s="208">
        <f>AVERAGE(X11,X13)</f>
        <v>0.90191387559808611</v>
      </c>
      <c r="Y29" s="208">
        <f>AVERAGE(Y4,Y7)</f>
        <v>0.83974358974358976</v>
      </c>
      <c r="Z29" s="232">
        <f>AVERAGE(Z3:Z4,Z7)</f>
        <v>0</v>
      </c>
    </row>
    <row r="30" spans="3:26" x14ac:dyDescent="0.25">
      <c r="C30" s="110"/>
      <c r="D30" s="104"/>
      <c r="E30" s="104"/>
      <c r="F30" s="304"/>
    </row>
    <row r="31" spans="3:26" x14ac:dyDescent="0.25">
      <c r="C31" s="110"/>
      <c r="D31" s="104"/>
      <c r="E31" s="104"/>
      <c r="F31" s="304"/>
    </row>
    <row r="33" spans="3:6" x14ac:dyDescent="0.25">
      <c r="C33" s="104" t="s">
        <v>5</v>
      </c>
      <c r="D33" s="293">
        <f>AVERAGE(D3:D31)</f>
        <v>0.99350649350649356</v>
      </c>
      <c r="E33" s="293">
        <f>AVERAGE(E3:E31)</f>
        <v>0.87648221343873511</v>
      </c>
      <c r="F33" s="132">
        <f t="shared" ref="F33" si="5">AVERAGE(F3:F31)</f>
        <v>0.95112781954887216</v>
      </c>
    </row>
    <row r="34" spans="3:6" x14ac:dyDescent="0.25">
      <c r="C34" s="104" t="s">
        <v>6</v>
      </c>
      <c r="D34" s="294">
        <f t="shared" ref="D34:F34" si="6">STDEVA(D3:D31)</f>
        <v>1.7180203318601223E-2</v>
      </c>
      <c r="E34" s="294">
        <f t="shared" si="6"/>
        <v>0.1714818387710289</v>
      </c>
      <c r="F34" s="133">
        <f t="shared" si="6"/>
        <v>6.7390123607763197E-2</v>
      </c>
    </row>
    <row r="35" spans="3:6" x14ac:dyDescent="0.25">
      <c r="C35" s="104" t="s">
        <v>7</v>
      </c>
      <c r="D35" s="294">
        <f>IF(D33+D34&gt;1,1,D33+D34)</f>
        <v>1</v>
      </c>
      <c r="E35" s="294">
        <f t="shared" ref="E35:F35" si="7">IF(E33+E34&gt;1,1,E33+E34)</f>
        <v>1</v>
      </c>
      <c r="F35" s="133">
        <f t="shared" si="7"/>
        <v>1</v>
      </c>
    </row>
    <row r="36" spans="3:6" x14ac:dyDescent="0.25">
      <c r="C36" s="104" t="s">
        <v>8</v>
      </c>
      <c r="D36" s="294">
        <f>IF(D33-D34&lt;0,0,D33-D34)</f>
        <v>0.9763262901878923</v>
      </c>
      <c r="E36" s="294">
        <f t="shared" ref="E36:F36" si="8">IF(E33-E34&lt;0,0,E33-E34)</f>
        <v>0.70500037466770626</v>
      </c>
      <c r="F36" s="133">
        <f t="shared" si="8"/>
        <v>0.88373769594110896</v>
      </c>
    </row>
    <row r="37" spans="3:6" x14ac:dyDescent="0.25">
      <c r="C37" s="104"/>
      <c r="D37" s="104"/>
      <c r="E37" s="295"/>
      <c r="F37" s="134"/>
    </row>
    <row r="38" spans="3:6" x14ac:dyDescent="0.25">
      <c r="C38" s="17" t="s">
        <v>9</v>
      </c>
      <c r="D38" s="183" t="s">
        <v>102</v>
      </c>
      <c r="E38" s="183" t="s">
        <v>103</v>
      </c>
      <c r="F38" s="124" t="s">
        <v>101</v>
      </c>
    </row>
    <row r="39" spans="3:6" x14ac:dyDescent="0.25">
      <c r="C39" s="17" t="s">
        <v>0</v>
      </c>
      <c r="D39" s="152">
        <v>127</v>
      </c>
      <c r="E39" s="152">
        <v>60</v>
      </c>
      <c r="F39" s="125">
        <v>51</v>
      </c>
    </row>
    <row r="40" spans="3:6" x14ac:dyDescent="0.25">
      <c r="C40" s="17" t="s">
        <v>1</v>
      </c>
      <c r="D40" s="152">
        <v>0</v>
      </c>
      <c r="E40" s="296">
        <v>3</v>
      </c>
      <c r="F40" s="135">
        <v>1</v>
      </c>
    </row>
    <row r="41" spans="3:6" x14ac:dyDescent="0.25">
      <c r="C41" s="17" t="s">
        <v>2</v>
      </c>
      <c r="D41" s="152">
        <v>127</v>
      </c>
      <c r="E41" s="296">
        <v>63</v>
      </c>
      <c r="F41" s="135">
        <v>52</v>
      </c>
    </row>
    <row r="42" spans="3:6" x14ac:dyDescent="0.25">
      <c r="C42" s="17" t="s">
        <v>3</v>
      </c>
      <c r="D42" s="13">
        <f>D39/D41</f>
        <v>1</v>
      </c>
      <c r="E42" s="13">
        <f t="shared" ref="E42:F42" si="9">E39/E41</f>
        <v>0.95238095238095233</v>
      </c>
      <c r="F42" s="126">
        <f t="shared" si="9"/>
        <v>0.98076923076923073</v>
      </c>
    </row>
    <row r="43" spans="3:6" x14ac:dyDescent="0.25">
      <c r="C43" s="17" t="s">
        <v>6</v>
      </c>
      <c r="D43" s="13">
        <f>STDEVA(D15:D16,D18:D20,D22,D26,D28)</f>
        <v>0</v>
      </c>
      <c r="E43" s="13">
        <f>STDEVA(E3,E8:E9)</f>
        <v>7.5306556850820772E-2</v>
      </c>
      <c r="F43" s="126">
        <f>STDEVA(F3,F8:F9)</f>
        <v>3.0386856273138231E-2</v>
      </c>
    </row>
    <row r="44" spans="3:6" x14ac:dyDescent="0.25">
      <c r="C44" s="17" t="s">
        <v>10</v>
      </c>
      <c r="D44" s="152">
        <v>6</v>
      </c>
      <c r="E44" s="296">
        <v>3</v>
      </c>
      <c r="F44" s="135">
        <v>3</v>
      </c>
    </row>
    <row r="45" spans="3:6" x14ac:dyDescent="0.25">
      <c r="C45" s="17" t="s">
        <v>14</v>
      </c>
      <c r="D45" s="208">
        <f>MEDIAN(D15:D16,D18:D20,D22,D26,D28)</f>
        <v>1</v>
      </c>
      <c r="E45" s="208">
        <f>MEDIAN(E3,E8:E9)</f>
        <v>1</v>
      </c>
      <c r="F45" s="271">
        <f>MEDIAN(F3,F8:F9)</f>
        <v>1</v>
      </c>
    </row>
    <row r="46" spans="3:6" x14ac:dyDescent="0.25">
      <c r="C46" s="17" t="s">
        <v>5</v>
      </c>
      <c r="D46" s="208">
        <f>AVERAGE(D15:D16,D18:D20,D22,D26,D28)</f>
        <v>1</v>
      </c>
      <c r="E46" s="208">
        <f>AVERAGE(E3,E8:E9)</f>
        <v>0.9565217391304347</v>
      </c>
      <c r="F46" s="232">
        <f>AVERAGE(F3,F8:F9)</f>
        <v>0.98245614035087714</v>
      </c>
    </row>
  </sheetData>
  <mergeCells count="17">
    <mergeCell ref="X1:Z1"/>
    <mergeCell ref="M3:M4"/>
    <mergeCell ref="M5:M7"/>
    <mergeCell ref="N1:P1"/>
    <mergeCell ref="R4:R5"/>
    <mergeCell ref="W6:W10"/>
    <mergeCell ref="S1:U1"/>
    <mergeCell ref="H4:H5"/>
    <mergeCell ref="H6:H7"/>
    <mergeCell ref="I1:K1"/>
    <mergeCell ref="C4:C5"/>
    <mergeCell ref="C6:C7"/>
    <mergeCell ref="C8:C13"/>
    <mergeCell ref="C15:C17"/>
    <mergeCell ref="C22:C24"/>
    <mergeCell ref="C18:C21"/>
    <mergeCell ref="D1:F1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C1:K33"/>
  <sheetViews>
    <sheetView workbookViewId="0">
      <pane ySplit="2" topLeftCell="A3" activePane="bottomLeft" state="frozen"/>
      <selection activeCell="I22" sqref="I22"/>
      <selection pane="bottomLeft" activeCell="J38" sqref="J38"/>
    </sheetView>
  </sheetViews>
  <sheetFormatPr baseColWidth="10" defaultColWidth="8.6640625" defaultRowHeight="13.8" x14ac:dyDescent="0.25"/>
  <cols>
    <col min="1" max="2" width="8.6640625" style="88"/>
    <col min="3" max="3" width="15" style="88" bestFit="1" customWidth="1"/>
    <col min="4" max="4" width="13.5546875" style="77" bestFit="1" customWidth="1"/>
    <col min="5" max="5" width="15.6640625" style="77" bestFit="1" customWidth="1"/>
    <col min="6" max="6" width="16" style="113" bestFit="1" customWidth="1"/>
    <col min="7" max="7" width="8.6640625" style="88"/>
    <col min="8" max="8" width="12.6640625" style="88" bestFit="1" customWidth="1"/>
    <col min="9" max="9" width="13.5546875" style="88" bestFit="1" customWidth="1"/>
    <col min="10" max="10" width="15.88671875" style="88" bestFit="1" customWidth="1"/>
    <col min="11" max="11" width="16" style="88" bestFit="1" customWidth="1"/>
    <col min="12" max="16384" width="8.6640625" style="88"/>
  </cols>
  <sheetData>
    <row r="1" spans="3:11" ht="14.4" x14ac:dyDescent="0.25">
      <c r="D1" s="496" t="s">
        <v>180</v>
      </c>
      <c r="E1" s="496"/>
      <c r="F1" s="496"/>
      <c r="I1" s="497" t="s">
        <v>181</v>
      </c>
      <c r="J1" s="497"/>
      <c r="K1" s="497"/>
    </row>
    <row r="2" spans="3:11" ht="14.4" x14ac:dyDescent="0.25">
      <c r="C2" s="15" t="s">
        <v>15</v>
      </c>
      <c r="D2" s="170" t="s">
        <v>102</v>
      </c>
      <c r="E2" s="170" t="s">
        <v>13</v>
      </c>
      <c r="F2" s="171" t="s">
        <v>100</v>
      </c>
      <c r="H2" s="430" t="s">
        <v>15</v>
      </c>
      <c r="I2" s="418" t="s">
        <v>102</v>
      </c>
      <c r="J2" s="418" t="s">
        <v>13</v>
      </c>
      <c r="K2" s="427" t="s">
        <v>100</v>
      </c>
    </row>
    <row r="3" spans="3:11" x14ac:dyDescent="0.25">
      <c r="C3" s="495">
        <v>1</v>
      </c>
      <c r="D3" s="180"/>
      <c r="E3" s="102">
        <v>0.77777777777777779</v>
      </c>
      <c r="F3" s="297">
        <v>0.77272727272727271</v>
      </c>
      <c r="H3" s="430">
        <v>1</v>
      </c>
      <c r="I3" s="417"/>
      <c r="J3" s="448">
        <v>0.14285714285714285</v>
      </c>
      <c r="K3" s="297"/>
    </row>
    <row r="4" spans="3:11" x14ac:dyDescent="0.25">
      <c r="C4" s="495"/>
      <c r="D4" s="179">
        <v>1</v>
      </c>
      <c r="E4" s="102">
        <v>0.65217391304347827</v>
      </c>
      <c r="F4" s="297">
        <v>0.90909090909090906</v>
      </c>
      <c r="H4" s="430">
        <v>2</v>
      </c>
      <c r="I4" s="448">
        <v>8.3333333333333329E-2</v>
      </c>
      <c r="J4" s="448">
        <v>0.10526315789473684</v>
      </c>
      <c r="K4" s="449">
        <v>0</v>
      </c>
    </row>
    <row r="5" spans="3:11" x14ac:dyDescent="0.25">
      <c r="C5" s="495">
        <v>2</v>
      </c>
      <c r="D5" s="169"/>
      <c r="E5" s="169"/>
      <c r="F5" s="112"/>
      <c r="H5" s="495">
        <v>3</v>
      </c>
      <c r="I5" s="450">
        <v>0.21428571428571427</v>
      </c>
      <c r="J5" s="450">
        <v>0.3</v>
      </c>
      <c r="K5" s="449">
        <v>0</v>
      </c>
    </row>
    <row r="6" spans="3:11" x14ac:dyDescent="0.25">
      <c r="C6" s="495"/>
      <c r="D6" s="169"/>
      <c r="E6" s="169"/>
      <c r="F6" s="112"/>
      <c r="H6" s="495"/>
      <c r="I6" s="448">
        <v>0</v>
      </c>
      <c r="J6" s="417"/>
      <c r="K6" s="449">
        <v>0.11764705882352941</v>
      </c>
    </row>
    <row r="7" spans="3:11" x14ac:dyDescent="0.25">
      <c r="C7" s="495">
        <v>3</v>
      </c>
      <c r="D7" s="169"/>
      <c r="E7" s="169"/>
      <c r="F7" s="112"/>
      <c r="H7" s="495"/>
      <c r="I7" s="417"/>
      <c r="J7" s="417"/>
      <c r="K7" s="142"/>
    </row>
    <row r="8" spans="3:11" x14ac:dyDescent="0.25">
      <c r="C8" s="495"/>
      <c r="D8" s="169"/>
      <c r="E8" s="169"/>
      <c r="F8" s="112"/>
      <c r="H8" s="430">
        <v>4</v>
      </c>
      <c r="I8" s="448">
        <f>F8/H8</f>
        <v>0</v>
      </c>
      <c r="J8" s="448">
        <v>0.16666666666666666</v>
      </c>
      <c r="K8" s="449">
        <v>0.11764705882352941</v>
      </c>
    </row>
    <row r="9" spans="3:11" x14ac:dyDescent="0.25">
      <c r="C9" s="495"/>
      <c r="D9" s="169"/>
      <c r="E9" s="169"/>
      <c r="F9" s="112"/>
      <c r="H9" s="495">
        <v>5</v>
      </c>
      <c r="I9" s="448">
        <v>0</v>
      </c>
      <c r="J9" s="450">
        <v>0</v>
      </c>
      <c r="K9" s="297">
        <v>5.8823529411764705E-2</v>
      </c>
    </row>
    <row r="10" spans="3:11" x14ac:dyDescent="0.25">
      <c r="C10" s="495">
        <v>4</v>
      </c>
      <c r="D10" s="180"/>
      <c r="E10" s="169"/>
      <c r="F10" s="112"/>
      <c r="H10" s="495"/>
      <c r="I10" s="448">
        <v>8.3333333333333329E-2</v>
      </c>
      <c r="J10" s="417"/>
      <c r="K10" s="112"/>
    </row>
    <row r="11" spans="3:11" x14ac:dyDescent="0.25">
      <c r="C11" s="495"/>
      <c r="D11" s="180"/>
      <c r="E11" s="169"/>
      <c r="F11" s="112"/>
      <c r="H11" s="495"/>
      <c r="I11" s="417"/>
      <c r="J11" s="417"/>
      <c r="K11" s="112"/>
    </row>
    <row r="12" spans="3:11" x14ac:dyDescent="0.25">
      <c r="C12" s="495">
        <v>5</v>
      </c>
      <c r="D12" s="102">
        <v>0.8571428571428571</v>
      </c>
      <c r="E12" s="169"/>
      <c r="F12" s="112"/>
      <c r="H12" s="495"/>
      <c r="I12" s="417"/>
      <c r="J12" s="417"/>
      <c r="K12" s="112"/>
    </row>
    <row r="13" spans="3:11" x14ac:dyDescent="0.25">
      <c r="C13" s="495"/>
      <c r="D13" s="306"/>
      <c r="E13" s="307"/>
      <c r="F13" s="112"/>
      <c r="H13" s="105"/>
      <c r="I13" s="104"/>
      <c r="J13" s="104"/>
      <c r="K13" s="113"/>
    </row>
    <row r="14" spans="3:11" x14ac:dyDescent="0.25">
      <c r="C14" s="15">
        <v>6</v>
      </c>
      <c r="D14" s="102">
        <v>0.83333333333333337</v>
      </c>
      <c r="E14" s="169"/>
      <c r="F14" s="112"/>
    </row>
    <row r="15" spans="3:11" x14ac:dyDescent="0.25">
      <c r="C15" s="15">
        <v>7</v>
      </c>
      <c r="D15" s="180"/>
      <c r="E15" s="169"/>
      <c r="F15" s="112"/>
    </row>
    <row r="16" spans="3:11" x14ac:dyDescent="0.25">
      <c r="C16" s="495">
        <v>8</v>
      </c>
      <c r="D16" s="169"/>
      <c r="E16" s="169"/>
      <c r="F16" s="112"/>
    </row>
    <row r="17" spans="3:11" x14ac:dyDescent="0.25">
      <c r="C17" s="495"/>
      <c r="D17" s="308"/>
      <c r="E17" s="308"/>
      <c r="F17" s="112"/>
    </row>
    <row r="18" spans="3:11" x14ac:dyDescent="0.25">
      <c r="C18" s="15">
        <v>9</v>
      </c>
      <c r="D18" s="308"/>
      <c r="E18" s="308"/>
      <c r="F18" s="112"/>
    </row>
    <row r="20" spans="3:11" x14ac:dyDescent="0.25">
      <c r="C20" s="105" t="s">
        <v>5</v>
      </c>
      <c r="D20" s="293">
        <f>AVERAGE(D3:D18)</f>
        <v>0.89682539682539686</v>
      </c>
      <c r="E20" s="293">
        <f t="shared" ref="E20:F20" si="0">AVERAGE(E3:E18)</f>
        <v>0.71497584541062809</v>
      </c>
      <c r="F20" s="147">
        <f t="shared" si="0"/>
        <v>0.84090909090909083</v>
      </c>
      <c r="H20" s="105" t="s">
        <v>5</v>
      </c>
      <c r="I20" s="293">
        <f>AVERAGE(I3:I12)</f>
        <v>6.3492063492063489E-2</v>
      </c>
      <c r="J20" s="293">
        <f>AVERAGE(J3:J12)</f>
        <v>0.14295739348370926</v>
      </c>
      <c r="K20" s="298">
        <f>AVERAGE(K3:K12)</f>
        <v>5.8823529411764705E-2</v>
      </c>
    </row>
    <row r="21" spans="3:11" x14ac:dyDescent="0.25">
      <c r="C21" s="105" t="s">
        <v>6</v>
      </c>
      <c r="D21" s="294">
        <f>STDEVA(D3:D18)</f>
        <v>9.0141402314290062E-2</v>
      </c>
      <c r="E21" s="294">
        <f t="shared" ref="E21:F21" si="1">STDEVA(E3:E18)</f>
        <v>8.8815344496861043E-2</v>
      </c>
      <c r="F21" s="146">
        <f t="shared" si="1"/>
        <v>9.6423651979983746E-2</v>
      </c>
      <c r="H21" s="105" t="s">
        <v>6</v>
      </c>
      <c r="I21" s="436">
        <f>STDEVA(I3:I12)</f>
        <v>8.440355854695504E-2</v>
      </c>
      <c r="J21" s="436">
        <f>STDEVA(J3:J12)</f>
        <v>0.10849215604684956</v>
      </c>
      <c r="K21" s="451">
        <f>STDEVA(K3:K12)</f>
        <v>5.8823529411764705E-2</v>
      </c>
    </row>
    <row r="22" spans="3:11" x14ac:dyDescent="0.25">
      <c r="C22" s="105" t="s">
        <v>7</v>
      </c>
      <c r="D22" s="294">
        <f>IF(D20+D21&gt;1,1,D20+D21)</f>
        <v>0.98696679913968688</v>
      </c>
      <c r="E22" s="294">
        <f t="shared" ref="E22:F22" si="2">IF(E20+E21&gt;1,1,E20+E21)</f>
        <v>0.8037911899074891</v>
      </c>
      <c r="F22" s="299">
        <f t="shared" si="2"/>
        <v>0.93733274288907453</v>
      </c>
      <c r="H22" s="105" t="s">
        <v>7</v>
      </c>
      <c r="I22" s="436">
        <f>IF(I20+I21&gt;1,1,I20+I21)</f>
        <v>0.14789562203901852</v>
      </c>
      <c r="J22" s="436">
        <f t="shared" ref="J22:K22" si="3">IF(J20+J21&gt;1,1,J20+J21)</f>
        <v>0.25144954953055881</v>
      </c>
      <c r="K22" s="451">
        <f t="shared" si="3"/>
        <v>0.11764705882352941</v>
      </c>
    </row>
    <row r="23" spans="3:11" x14ac:dyDescent="0.25">
      <c r="C23" s="105" t="s">
        <v>8</v>
      </c>
      <c r="D23" s="294">
        <f>IF(D20-D21&lt;0,0,D20-D21)</f>
        <v>0.80668399451110684</v>
      </c>
      <c r="E23" s="294">
        <f t="shared" ref="E23:F23" si="4">IF(E20-E21&lt;0,0,E20-E21)</f>
        <v>0.62616050091376707</v>
      </c>
      <c r="F23" s="299">
        <f t="shared" si="4"/>
        <v>0.74448543892910712</v>
      </c>
      <c r="H23" s="105" t="s">
        <v>8</v>
      </c>
      <c r="I23" s="436">
        <f>IF(I20-I21&lt;0,0,I20-I21)</f>
        <v>0</v>
      </c>
      <c r="J23" s="436">
        <f t="shared" ref="J23:K23" si="5">IF(J20-J21&lt;0,0,J20-J21)</f>
        <v>3.4465237436859697E-2</v>
      </c>
      <c r="K23" s="451">
        <f t="shared" si="5"/>
        <v>0</v>
      </c>
    </row>
    <row r="24" spans="3:11" x14ac:dyDescent="0.25">
      <c r="C24" s="105"/>
      <c r="D24" s="104"/>
      <c r="E24" s="104"/>
      <c r="F24" s="300"/>
      <c r="H24" s="105"/>
      <c r="I24" s="104"/>
      <c r="J24" s="104"/>
      <c r="K24" s="300"/>
    </row>
    <row r="25" spans="3:11" x14ac:dyDescent="0.25">
      <c r="C25" s="10" t="s">
        <v>9</v>
      </c>
      <c r="D25" s="183" t="s">
        <v>102</v>
      </c>
      <c r="E25" s="183" t="s">
        <v>13</v>
      </c>
      <c r="F25" s="164" t="s">
        <v>100</v>
      </c>
      <c r="H25" s="10" t="s">
        <v>9</v>
      </c>
      <c r="I25" s="183" t="s">
        <v>102</v>
      </c>
      <c r="J25" s="183" t="s">
        <v>13</v>
      </c>
      <c r="K25" s="164" t="s">
        <v>100</v>
      </c>
    </row>
    <row r="26" spans="3:11" x14ac:dyDescent="0.25">
      <c r="C26" s="14" t="s">
        <v>0</v>
      </c>
      <c r="D26" s="172">
        <v>28</v>
      </c>
      <c r="E26" s="172">
        <v>29</v>
      </c>
      <c r="F26" s="114">
        <v>27</v>
      </c>
      <c r="H26" s="10" t="s">
        <v>0</v>
      </c>
      <c r="I26" s="305">
        <v>2</v>
      </c>
      <c r="J26" s="305">
        <v>4</v>
      </c>
      <c r="K26" s="411">
        <v>5</v>
      </c>
    </row>
    <row r="27" spans="3:11" x14ac:dyDescent="0.25">
      <c r="C27" s="14" t="s">
        <v>1</v>
      </c>
      <c r="D27" s="172">
        <v>5</v>
      </c>
      <c r="E27" s="172">
        <v>12</v>
      </c>
      <c r="F27" s="301">
        <v>6</v>
      </c>
      <c r="H27" s="10" t="s">
        <v>1</v>
      </c>
      <c r="I27" s="305">
        <v>72</v>
      </c>
      <c r="J27" s="305">
        <v>28</v>
      </c>
      <c r="K27" s="301">
        <v>76</v>
      </c>
    </row>
    <row r="28" spans="3:11" x14ac:dyDescent="0.25">
      <c r="C28" s="14" t="s">
        <v>2</v>
      </c>
      <c r="D28" s="172">
        <v>33</v>
      </c>
      <c r="E28" s="172">
        <v>41</v>
      </c>
      <c r="F28" s="301">
        <v>33</v>
      </c>
      <c r="H28" s="10" t="s">
        <v>2</v>
      </c>
      <c r="I28" s="305">
        <v>74</v>
      </c>
      <c r="J28" s="305">
        <v>32</v>
      </c>
      <c r="K28" s="301">
        <v>81</v>
      </c>
    </row>
    <row r="29" spans="3:11" x14ac:dyDescent="0.25">
      <c r="C29" s="14" t="s">
        <v>3</v>
      </c>
      <c r="D29" s="13">
        <f>D26/D28</f>
        <v>0.84848484848484851</v>
      </c>
      <c r="E29" s="13">
        <f t="shared" ref="E29:F29" si="6">E26/E28</f>
        <v>0.70731707317073167</v>
      </c>
      <c r="F29" s="115">
        <f t="shared" si="6"/>
        <v>0.81818181818181823</v>
      </c>
      <c r="H29" s="10" t="s">
        <v>3</v>
      </c>
      <c r="I29" s="437">
        <f>I26/I28</f>
        <v>2.7027027027027029E-2</v>
      </c>
      <c r="J29" s="437">
        <f t="shared" ref="J29:K29" si="7">J26/J28</f>
        <v>0.125</v>
      </c>
      <c r="K29" s="115">
        <f t="shared" si="7"/>
        <v>6.1728395061728392E-2</v>
      </c>
    </row>
    <row r="30" spans="3:11" x14ac:dyDescent="0.25">
      <c r="C30" s="14" t="s">
        <v>6</v>
      </c>
      <c r="D30" s="13">
        <f>STDEVA(D12,D14)</f>
        <v>1.6835875742536786E-2</v>
      </c>
      <c r="E30" s="13">
        <f>STDEVA(E3:E4)</f>
        <v>8.8815344496861043E-2</v>
      </c>
      <c r="F30" s="115">
        <f>STDEVA(F3:F4)</f>
        <v>9.6423651979983746E-2</v>
      </c>
      <c r="H30" s="10" t="s">
        <v>6</v>
      </c>
      <c r="I30" s="437">
        <f>STDEVA(I4,I6,I8:I10)</f>
        <v>4.564354645876384E-2</v>
      </c>
      <c r="J30" s="437">
        <f>STDEVA(J3:J4,J8)</f>
        <v>3.0958552988617799E-2</v>
      </c>
      <c r="K30" s="115">
        <f>STDEVA(K4:K6,K8:K9)</f>
        <v>5.8823529411764705E-2</v>
      </c>
    </row>
    <row r="31" spans="3:11" x14ac:dyDescent="0.25">
      <c r="C31" s="14" t="s">
        <v>10</v>
      </c>
      <c r="D31" s="172">
        <v>2</v>
      </c>
      <c r="E31" s="172">
        <v>2</v>
      </c>
      <c r="F31" s="301">
        <v>2</v>
      </c>
      <c r="H31" s="10" t="s">
        <v>10</v>
      </c>
      <c r="I31" s="305">
        <v>5</v>
      </c>
      <c r="J31" s="305">
        <v>3</v>
      </c>
      <c r="K31" s="301">
        <v>5</v>
      </c>
    </row>
    <row r="32" spans="3:11" x14ac:dyDescent="0.25">
      <c r="C32" s="17" t="s">
        <v>14</v>
      </c>
      <c r="D32" s="208">
        <f>MEDIAN(D12,D14)</f>
        <v>0.84523809523809523</v>
      </c>
      <c r="E32" s="208">
        <f>MEDIAN(E3:E4)</f>
        <v>0.71497584541062809</v>
      </c>
      <c r="F32" s="302">
        <f>MEDIAN(F3:F4)</f>
        <v>0.84090909090909083</v>
      </c>
      <c r="H32" s="17" t="s">
        <v>14</v>
      </c>
      <c r="I32" s="208">
        <f>MEDIAN(I4,I6,I8:I10)</f>
        <v>0</v>
      </c>
      <c r="J32" s="208">
        <f>MEDIAN(J3:J4,J8)</f>
        <v>0.14285714285714285</v>
      </c>
      <c r="K32" s="302">
        <f>MEDIAN(K4:K6,K8:K9)</f>
        <v>5.8823529411764705E-2</v>
      </c>
    </row>
    <row r="33" spans="3:11" x14ac:dyDescent="0.25">
      <c r="C33" s="17" t="s">
        <v>5</v>
      </c>
      <c r="D33" s="208">
        <f>AVERAGE(D12,D14)</f>
        <v>0.84523809523809523</v>
      </c>
      <c r="E33" s="208">
        <f>AVERAGE(E3:E4)</f>
        <v>0.71497584541062809</v>
      </c>
      <c r="F33" s="302">
        <f>AVERAGE(F3:F4)</f>
        <v>0.84090909090909083</v>
      </c>
      <c r="H33" s="17" t="s">
        <v>5</v>
      </c>
      <c r="I33" s="208">
        <f>AVERAGE(I4,I6,I8:I10)</f>
        <v>3.3333333333333333E-2</v>
      </c>
      <c r="J33" s="208">
        <f>AVERAGE(J3:J4,J8)</f>
        <v>0.13826232247284878</v>
      </c>
      <c r="K33" s="302">
        <f>AVERAGE(K4:K6,K8:K9)</f>
        <v>5.8823529411764705E-2</v>
      </c>
    </row>
  </sheetData>
  <mergeCells count="10">
    <mergeCell ref="I1:K1"/>
    <mergeCell ref="C3:C4"/>
    <mergeCell ref="C5:C6"/>
    <mergeCell ref="C10:C11"/>
    <mergeCell ref="C16:C17"/>
    <mergeCell ref="C7:C9"/>
    <mergeCell ref="C12:C13"/>
    <mergeCell ref="D1:F1"/>
    <mergeCell ref="H5:H7"/>
    <mergeCell ref="H9:H12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C1:E373"/>
  <sheetViews>
    <sheetView tabSelected="1" zoomScale="90" zoomScaleNormal="90" workbookViewId="0">
      <pane ySplit="1" topLeftCell="A2" activePane="bottomLeft" state="frozen"/>
      <selection activeCell="J1" sqref="J1"/>
      <selection pane="bottomLeft" activeCell="J42" sqref="J42"/>
    </sheetView>
  </sheetViews>
  <sheetFormatPr baseColWidth="10" defaultColWidth="8.6640625" defaultRowHeight="13.8" x14ac:dyDescent="0.25"/>
  <cols>
    <col min="1" max="2" width="8.6640625" style="77"/>
    <col min="3" max="3" width="12.6640625" style="78" bestFit="1" customWidth="1"/>
    <col min="4" max="4" width="16.6640625" style="78" bestFit="1" customWidth="1"/>
    <col min="5" max="5" width="8.6640625" style="161"/>
    <col min="6" max="16384" width="8.6640625" style="77"/>
  </cols>
  <sheetData>
    <row r="1" spans="3:5" ht="16.8" x14ac:dyDescent="0.25">
      <c r="C1" s="16" t="s">
        <v>15</v>
      </c>
      <c r="D1" s="151" t="s">
        <v>112</v>
      </c>
      <c r="E1" s="117" t="s">
        <v>104</v>
      </c>
    </row>
    <row r="2" spans="3:5" x14ac:dyDescent="0.25">
      <c r="C2" s="16">
        <v>1</v>
      </c>
      <c r="D2" s="150"/>
      <c r="E2" s="224"/>
    </row>
    <row r="3" spans="3:5" x14ac:dyDescent="0.25">
      <c r="C3" s="489">
        <v>2</v>
      </c>
      <c r="D3" s="150"/>
      <c r="E3" s="223">
        <v>0.95454545454545459</v>
      </c>
    </row>
    <row r="4" spans="3:5" x14ac:dyDescent="0.25">
      <c r="C4" s="489"/>
      <c r="D4" s="150"/>
      <c r="E4" s="223">
        <v>1</v>
      </c>
    </row>
    <row r="5" spans="3:5" x14ac:dyDescent="0.25">
      <c r="C5" s="489"/>
      <c r="D5" s="150"/>
      <c r="E5" s="223">
        <v>0.86956521739130432</v>
      </c>
    </row>
    <row r="6" spans="3:5" x14ac:dyDescent="0.25">
      <c r="C6" s="489"/>
      <c r="D6" s="150"/>
      <c r="E6" s="223">
        <v>0.90476190476190477</v>
      </c>
    </row>
    <row r="7" spans="3:5" x14ac:dyDescent="0.25">
      <c r="C7" s="489">
        <v>4</v>
      </c>
      <c r="D7" s="150"/>
      <c r="E7" s="224"/>
    </row>
    <row r="8" spans="3:5" x14ac:dyDescent="0.25">
      <c r="C8" s="489"/>
      <c r="D8" s="150"/>
      <c r="E8" s="224"/>
    </row>
    <row r="9" spans="3:5" x14ac:dyDescent="0.25">
      <c r="C9" s="16">
        <v>5</v>
      </c>
      <c r="D9" s="150"/>
      <c r="E9" s="224"/>
    </row>
    <row r="10" spans="3:5" x14ac:dyDescent="0.25">
      <c r="C10" s="16">
        <v>6</v>
      </c>
      <c r="D10" s="150"/>
      <c r="E10" s="223">
        <v>0.95238095238095233</v>
      </c>
    </row>
    <row r="11" spans="3:5" x14ac:dyDescent="0.25">
      <c r="C11" s="16">
        <v>7</v>
      </c>
      <c r="D11" s="150"/>
      <c r="E11" s="223">
        <v>1</v>
      </c>
    </row>
    <row r="12" spans="3:5" x14ac:dyDescent="0.25">
      <c r="C12" s="16">
        <v>8</v>
      </c>
      <c r="D12" s="150"/>
      <c r="E12" s="224"/>
    </row>
    <row r="13" spans="3:5" x14ac:dyDescent="0.25">
      <c r="C13" s="16">
        <v>9</v>
      </c>
      <c r="D13" s="150"/>
      <c r="E13" s="223">
        <v>0.8</v>
      </c>
    </row>
    <row r="14" spans="3:5" x14ac:dyDescent="0.25">
      <c r="C14" s="489">
        <v>10</v>
      </c>
      <c r="D14" s="150"/>
      <c r="E14" s="225">
        <v>0.35714285714285715</v>
      </c>
    </row>
    <row r="15" spans="3:5" x14ac:dyDescent="0.25">
      <c r="C15" s="489"/>
      <c r="D15" s="150"/>
      <c r="E15" s="225">
        <v>0.5714285714285714</v>
      </c>
    </row>
    <row r="16" spans="3:5" x14ac:dyDescent="0.25">
      <c r="C16" s="16">
        <v>11</v>
      </c>
      <c r="D16" s="150"/>
      <c r="E16" s="223">
        <v>1</v>
      </c>
    </row>
    <row r="17" spans="3:5" x14ac:dyDescent="0.25">
      <c r="C17" s="16">
        <v>12</v>
      </c>
      <c r="D17" s="150"/>
      <c r="E17" s="223">
        <v>0.95454545454545459</v>
      </c>
    </row>
    <row r="18" spans="3:5" x14ac:dyDescent="0.25">
      <c r="C18" s="16">
        <v>13</v>
      </c>
      <c r="D18" s="150"/>
      <c r="E18" s="223">
        <v>1</v>
      </c>
    </row>
    <row r="19" spans="3:5" x14ac:dyDescent="0.25">
      <c r="C19" s="489">
        <v>14</v>
      </c>
      <c r="D19" s="150"/>
      <c r="E19" s="224"/>
    </row>
    <row r="20" spans="3:5" x14ac:dyDescent="0.25">
      <c r="C20" s="489"/>
      <c r="D20" s="150"/>
      <c r="E20" s="224"/>
    </row>
    <row r="21" spans="3:5" x14ac:dyDescent="0.25">
      <c r="C21" s="16">
        <v>15</v>
      </c>
      <c r="D21" s="102">
        <v>1</v>
      </c>
      <c r="E21" s="223">
        <v>0.82608695652173914</v>
      </c>
    </row>
    <row r="22" spans="3:5" x14ac:dyDescent="0.25">
      <c r="C22" s="16">
        <v>16</v>
      </c>
      <c r="D22" s="150"/>
      <c r="E22" s="224"/>
    </row>
    <row r="23" spans="3:5" x14ac:dyDescent="0.25">
      <c r="C23" s="16">
        <v>17</v>
      </c>
      <c r="D23" s="150"/>
      <c r="E23" s="224"/>
    </row>
    <row r="24" spans="3:5" x14ac:dyDescent="0.25">
      <c r="C24" s="489">
        <v>18</v>
      </c>
      <c r="D24" s="150"/>
      <c r="E24" s="223">
        <v>0.91666666666666663</v>
      </c>
    </row>
    <row r="25" spans="3:5" x14ac:dyDescent="0.25">
      <c r="C25" s="489"/>
      <c r="D25" s="150"/>
      <c r="E25" s="224"/>
    </row>
    <row r="26" spans="3:5" x14ac:dyDescent="0.25">
      <c r="C26" s="16">
        <v>19</v>
      </c>
      <c r="D26" s="150"/>
      <c r="E26" s="224"/>
    </row>
    <row r="27" spans="3:5" x14ac:dyDescent="0.25">
      <c r="C27" s="16">
        <v>20</v>
      </c>
      <c r="D27" s="150"/>
      <c r="E27" s="224"/>
    </row>
    <row r="28" spans="3:5" x14ac:dyDescent="0.25">
      <c r="C28" s="16">
        <v>21</v>
      </c>
      <c r="D28" s="150"/>
      <c r="E28" s="223">
        <v>0.9</v>
      </c>
    </row>
    <row r="29" spans="3:5" x14ac:dyDescent="0.25">
      <c r="C29" s="16">
        <v>22</v>
      </c>
      <c r="D29" s="150"/>
      <c r="E29" s="223">
        <v>1</v>
      </c>
    </row>
    <row r="30" spans="3:5" x14ac:dyDescent="0.25">
      <c r="C30" s="16">
        <v>23</v>
      </c>
      <c r="D30" s="150"/>
      <c r="E30" s="223">
        <v>0.91666666666666663</v>
      </c>
    </row>
    <row r="31" spans="3:5" x14ac:dyDescent="0.25">
      <c r="C31" s="16">
        <v>26</v>
      </c>
      <c r="D31" s="102">
        <v>1</v>
      </c>
      <c r="E31" s="224"/>
    </row>
    <row r="32" spans="3:5" x14ac:dyDescent="0.25">
      <c r="C32" s="16">
        <v>27</v>
      </c>
      <c r="D32" s="150"/>
      <c r="E32" s="223">
        <v>0.95238095238095233</v>
      </c>
    </row>
    <row r="33" spans="3:5" x14ac:dyDescent="0.25">
      <c r="C33" s="489">
        <v>28</v>
      </c>
      <c r="D33" s="150"/>
      <c r="E33" s="223">
        <v>1</v>
      </c>
    </row>
    <row r="34" spans="3:5" x14ac:dyDescent="0.25">
      <c r="C34" s="489"/>
      <c r="D34" s="150"/>
      <c r="E34" s="224"/>
    </row>
    <row r="35" spans="3:5" x14ac:dyDescent="0.25">
      <c r="C35" s="498">
        <v>29</v>
      </c>
      <c r="D35" s="150"/>
      <c r="E35" s="225">
        <v>0.54545454545454541</v>
      </c>
    </row>
    <row r="36" spans="3:5" x14ac:dyDescent="0.25">
      <c r="C36" s="499"/>
      <c r="D36" s="150"/>
      <c r="E36" s="224"/>
    </row>
    <row r="37" spans="3:5" x14ac:dyDescent="0.25">
      <c r="C37" s="16">
        <v>30</v>
      </c>
      <c r="D37" s="150"/>
      <c r="E37" s="223">
        <v>0.9</v>
      </c>
    </row>
    <row r="38" spans="3:5" x14ac:dyDescent="0.25">
      <c r="C38" s="489">
        <v>31</v>
      </c>
      <c r="D38" s="102">
        <v>1</v>
      </c>
      <c r="E38" s="223">
        <v>1</v>
      </c>
    </row>
    <row r="39" spans="3:5" x14ac:dyDescent="0.25">
      <c r="C39" s="489"/>
      <c r="D39" s="150"/>
      <c r="E39" s="223">
        <v>1</v>
      </c>
    </row>
    <row r="40" spans="3:5" x14ac:dyDescent="0.25">
      <c r="C40" s="489"/>
      <c r="D40" s="150"/>
      <c r="E40" s="224"/>
    </row>
    <row r="41" spans="3:5" x14ac:dyDescent="0.25">
      <c r="C41" s="16">
        <v>32</v>
      </c>
      <c r="D41" s="150"/>
      <c r="E41" s="224"/>
    </row>
    <row r="42" spans="3:5" x14ac:dyDescent="0.25">
      <c r="C42" s="16">
        <v>33</v>
      </c>
      <c r="D42" s="150"/>
      <c r="E42" s="224"/>
    </row>
    <row r="43" spans="3:5" x14ac:dyDescent="0.25">
      <c r="C43" s="16">
        <v>35</v>
      </c>
      <c r="D43" s="150"/>
      <c r="E43" s="224"/>
    </row>
    <row r="44" spans="3:5" x14ac:dyDescent="0.25">
      <c r="C44" s="16">
        <v>36</v>
      </c>
      <c r="D44" s="150"/>
      <c r="E44" s="223">
        <v>0.96969696969696972</v>
      </c>
    </row>
    <row r="45" spans="3:5" x14ac:dyDescent="0.25">
      <c r="C45" s="16">
        <v>37</v>
      </c>
      <c r="D45" s="150"/>
      <c r="E45" s="224"/>
    </row>
    <row r="46" spans="3:5" x14ac:dyDescent="0.25">
      <c r="C46" s="489">
        <v>38</v>
      </c>
      <c r="D46" s="150"/>
      <c r="E46" s="223">
        <v>0.875</v>
      </c>
    </row>
    <row r="47" spans="3:5" x14ac:dyDescent="0.25">
      <c r="C47" s="489"/>
      <c r="D47" s="150"/>
      <c r="E47" s="225">
        <v>0.63636363636363635</v>
      </c>
    </row>
    <row r="48" spans="3:5" x14ac:dyDescent="0.25">
      <c r="C48" s="16">
        <v>39</v>
      </c>
      <c r="D48" s="150"/>
      <c r="E48" s="223">
        <v>1</v>
      </c>
    </row>
    <row r="49" spans="3:5" x14ac:dyDescent="0.25">
      <c r="C49" s="16">
        <v>40</v>
      </c>
      <c r="D49" s="150"/>
      <c r="E49" s="224"/>
    </row>
    <row r="50" spans="3:5" x14ac:dyDescent="0.25">
      <c r="C50" s="16">
        <v>41</v>
      </c>
      <c r="D50" s="102">
        <v>1</v>
      </c>
      <c r="E50" s="224"/>
    </row>
    <row r="51" spans="3:5" x14ac:dyDescent="0.25">
      <c r="C51" s="16">
        <v>42</v>
      </c>
      <c r="D51" s="150"/>
      <c r="E51" s="224"/>
    </row>
    <row r="52" spans="3:5" x14ac:dyDescent="0.25">
      <c r="C52" s="16">
        <v>43</v>
      </c>
      <c r="D52" s="150"/>
      <c r="E52" s="223">
        <v>1</v>
      </c>
    </row>
    <row r="53" spans="3:5" x14ac:dyDescent="0.25">
      <c r="C53" s="16">
        <v>44</v>
      </c>
      <c r="D53" s="150"/>
      <c r="E53" s="223">
        <v>0.95454545454545459</v>
      </c>
    </row>
    <row r="54" spans="3:5" x14ac:dyDescent="0.25">
      <c r="C54" s="16">
        <v>45</v>
      </c>
      <c r="D54" s="102">
        <v>1</v>
      </c>
      <c r="E54" s="224"/>
    </row>
    <row r="55" spans="3:5" x14ac:dyDescent="0.25">
      <c r="C55" s="16">
        <v>34</v>
      </c>
      <c r="D55" s="102">
        <v>1</v>
      </c>
      <c r="E55" s="224"/>
    </row>
    <row r="56" spans="3:5" x14ac:dyDescent="0.25">
      <c r="C56" s="16">
        <v>46</v>
      </c>
      <c r="D56" s="102">
        <v>1</v>
      </c>
      <c r="E56" s="224"/>
    </row>
    <row r="57" spans="3:5" x14ac:dyDescent="0.25">
      <c r="C57" s="16">
        <v>47</v>
      </c>
      <c r="D57" s="150"/>
      <c r="E57" s="224"/>
    </row>
    <row r="58" spans="3:5" x14ac:dyDescent="0.25">
      <c r="C58" s="16">
        <v>48</v>
      </c>
      <c r="D58" s="150"/>
      <c r="E58" s="224"/>
    </row>
    <row r="61" spans="3:5" x14ac:dyDescent="0.25">
      <c r="C61" s="78" t="s">
        <v>5</v>
      </c>
      <c r="D61" s="181">
        <f t="shared" ref="D61" si="0">AVERAGE(D2:D58)</f>
        <v>1</v>
      </c>
      <c r="E61" s="226">
        <f t="shared" ref="E61" si="1">AVERAGE(E2:E54)</f>
        <v>0.88818042277562503</v>
      </c>
    </row>
    <row r="62" spans="3:5" x14ac:dyDescent="0.25">
      <c r="C62" s="78" t="s">
        <v>6</v>
      </c>
      <c r="D62" s="182">
        <f t="shared" ref="D62:E62" si="2">STDEVA(D2:D58)</f>
        <v>0</v>
      </c>
      <c r="E62" s="227">
        <f t="shared" si="2"/>
        <v>0.1615407692982441</v>
      </c>
    </row>
    <row r="63" spans="3:5" x14ac:dyDescent="0.25">
      <c r="C63" s="78" t="s">
        <v>7</v>
      </c>
      <c r="D63" s="181">
        <f t="shared" ref="D63:E63" si="3">IF(D61+D62&gt;1,1,D61+D62)</f>
        <v>1</v>
      </c>
      <c r="E63" s="226">
        <f t="shared" si="3"/>
        <v>1</v>
      </c>
    </row>
    <row r="64" spans="3:5" x14ac:dyDescent="0.25">
      <c r="C64" s="78" t="s">
        <v>8</v>
      </c>
      <c r="D64" s="182">
        <f t="shared" ref="D64:E64" si="4">IF(D61-D62&lt;0,0,D61-D62)</f>
        <v>1</v>
      </c>
      <c r="E64" s="228">
        <f t="shared" si="4"/>
        <v>0.72663965347738091</v>
      </c>
    </row>
    <row r="69" spans="3:5" ht="16.2" x14ac:dyDescent="0.25">
      <c r="C69" s="17" t="s">
        <v>9</v>
      </c>
      <c r="D69" s="183" t="s">
        <v>113</v>
      </c>
      <c r="E69" s="167" t="s">
        <v>117</v>
      </c>
    </row>
    <row r="70" spans="3:5" x14ac:dyDescent="0.25">
      <c r="C70" s="17" t="s">
        <v>0</v>
      </c>
      <c r="D70" s="152">
        <v>132</v>
      </c>
      <c r="E70" s="158">
        <v>444</v>
      </c>
    </row>
    <row r="71" spans="3:5" x14ac:dyDescent="0.25">
      <c r="C71" s="17" t="s">
        <v>1</v>
      </c>
      <c r="D71" s="152">
        <v>0</v>
      </c>
      <c r="E71" s="158">
        <v>24</v>
      </c>
    </row>
    <row r="72" spans="3:5" x14ac:dyDescent="0.25">
      <c r="C72" s="17" t="s">
        <v>2</v>
      </c>
      <c r="D72" s="152">
        <v>132</v>
      </c>
      <c r="E72" s="158">
        <v>468</v>
      </c>
    </row>
    <row r="73" spans="3:5" x14ac:dyDescent="0.25">
      <c r="C73" s="17" t="s">
        <v>3</v>
      </c>
      <c r="D73" s="13">
        <f t="shared" ref="D73:E73" si="5">D70/D72</f>
        <v>1</v>
      </c>
      <c r="E73" s="229">
        <f t="shared" si="5"/>
        <v>0.94871794871794868</v>
      </c>
    </row>
    <row r="74" spans="3:5" x14ac:dyDescent="0.25">
      <c r="C74" s="17" t="s">
        <v>6</v>
      </c>
      <c r="D74" s="13">
        <f>STDEVA(D21,D31,D38,D50,D54)</f>
        <v>0</v>
      </c>
      <c r="E74" s="230">
        <f>STDEVA(E3:E6,E10:E11,E13,E16:E18,E21,E24,E28:E30,E32:E33,E37:E39,E44,E46,E48,E52:E53)</f>
        <v>5.9250013530813682E-2</v>
      </c>
    </row>
    <row r="75" spans="3:5" x14ac:dyDescent="0.25">
      <c r="C75" s="17" t="s">
        <v>10</v>
      </c>
      <c r="D75" s="152">
        <v>7</v>
      </c>
      <c r="E75" s="158">
        <v>25</v>
      </c>
    </row>
    <row r="76" spans="3:5" x14ac:dyDescent="0.25">
      <c r="C76" s="17" t="s">
        <v>14</v>
      </c>
      <c r="D76" s="208">
        <f>MEDIAN(D21,D31,D38,D50,D54)</f>
        <v>1</v>
      </c>
      <c r="E76" s="231">
        <f>MEDIAN(E3:E6,E10:E11,E13,E16:E18,E21,E24,E28:E30,E32:E33,E37:E39,E44,E46,E48,E52:E53)</f>
        <v>0.95454545454545459</v>
      </c>
    </row>
    <row r="77" spans="3:5" x14ac:dyDescent="0.25">
      <c r="C77" s="17" t="s">
        <v>5</v>
      </c>
      <c r="D77" s="208">
        <f>AVERAGE(D21,D31,D38,D50,D54)</f>
        <v>1</v>
      </c>
      <c r="E77" s="231">
        <f>AVERAGE(E3:E6,E10:E11,E13,E16:E18,E21,E24,E28:E30,E32:E33,E37:E39,E44,E46,E48,E52:E53)</f>
        <v>0.94587370600414067</v>
      </c>
    </row>
    <row r="222" ht="16.5" customHeight="1" x14ac:dyDescent="0.25"/>
    <row r="246" ht="14.4" customHeight="1" x14ac:dyDescent="0.25"/>
    <row r="247" ht="14.4" customHeight="1" x14ac:dyDescent="0.25"/>
    <row r="258" ht="14.4" customHeight="1" x14ac:dyDescent="0.25"/>
    <row r="310" ht="16.5" customHeight="1" x14ac:dyDescent="0.25"/>
    <row r="373" ht="16.5" customHeight="1" x14ac:dyDescent="0.25"/>
  </sheetData>
  <mergeCells count="9">
    <mergeCell ref="C3:C6"/>
    <mergeCell ref="C7:C8"/>
    <mergeCell ref="C46:C47"/>
    <mergeCell ref="C24:C25"/>
    <mergeCell ref="C14:C15"/>
    <mergeCell ref="C19:C20"/>
    <mergeCell ref="C33:C34"/>
    <mergeCell ref="C35:C36"/>
    <mergeCell ref="C38:C40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I326"/>
  <sheetViews>
    <sheetView topLeftCell="A37" workbookViewId="0">
      <selection activeCell="S12" sqref="S12"/>
    </sheetView>
  </sheetViews>
  <sheetFormatPr baseColWidth="10" defaultColWidth="8.6640625" defaultRowHeight="13.8" x14ac:dyDescent="0.25"/>
  <cols>
    <col min="1" max="2" width="8.6640625" style="77"/>
    <col min="3" max="3" width="15.109375" style="100" bestFit="1" customWidth="1"/>
    <col min="4" max="4" width="15.109375" style="432" bestFit="1" customWidth="1"/>
    <col min="5" max="5" width="11.44140625" style="148" bestFit="1" customWidth="1"/>
    <col min="6" max="6" width="9.5546875" style="281" bestFit="1" customWidth="1"/>
    <col min="7" max="7" width="9.5546875" style="290" bestFit="1" customWidth="1"/>
    <col min="8" max="8" width="11.33203125" style="285" bestFit="1" customWidth="1"/>
    <col min="9" max="16384" width="8.6640625" style="77"/>
  </cols>
  <sheetData>
    <row r="1" spans="3:8" ht="16.8" x14ac:dyDescent="0.25">
      <c r="C1" s="417" t="s">
        <v>15</v>
      </c>
      <c r="D1" s="418" t="s">
        <v>112</v>
      </c>
      <c r="E1" s="420" t="s">
        <v>110</v>
      </c>
      <c r="F1" s="424" t="s">
        <v>105</v>
      </c>
      <c r="G1" s="245" t="s">
        <v>106</v>
      </c>
      <c r="H1" s="423" t="s">
        <v>108</v>
      </c>
    </row>
    <row r="2" spans="3:8" x14ac:dyDescent="0.25">
      <c r="C2" s="426">
        <v>1</v>
      </c>
      <c r="D2" s="417"/>
      <c r="E2" s="447"/>
      <c r="F2" s="278"/>
      <c r="G2" s="287"/>
      <c r="H2" s="283"/>
    </row>
    <row r="3" spans="3:8" x14ac:dyDescent="0.25">
      <c r="C3" s="426">
        <v>2</v>
      </c>
      <c r="D3" s="417"/>
      <c r="E3" s="443">
        <v>0.6470588235294118</v>
      </c>
      <c r="F3" s="278"/>
      <c r="G3" s="287"/>
      <c r="H3" s="283"/>
    </row>
    <row r="4" spans="3:8" x14ac:dyDescent="0.25">
      <c r="C4" s="426">
        <v>3</v>
      </c>
      <c r="D4" s="417"/>
      <c r="E4" s="447"/>
      <c r="F4" s="278"/>
      <c r="G4" s="287"/>
      <c r="H4" s="283"/>
    </row>
    <row r="5" spans="3:8" x14ac:dyDescent="0.25">
      <c r="C5" s="426">
        <v>4</v>
      </c>
      <c r="D5" s="207"/>
      <c r="E5" s="277"/>
      <c r="F5" s="269"/>
      <c r="G5" s="272"/>
      <c r="H5" s="266"/>
    </row>
    <row r="6" spans="3:8" x14ac:dyDescent="0.25">
      <c r="C6" s="426">
        <v>5</v>
      </c>
      <c r="D6" s="207"/>
      <c r="E6" s="277"/>
      <c r="F6" s="269"/>
      <c r="G6" s="272"/>
      <c r="H6" s="266"/>
    </row>
    <row r="7" spans="3:8" x14ac:dyDescent="0.25">
      <c r="C7" s="426">
        <v>6</v>
      </c>
      <c r="D7" s="207"/>
      <c r="E7" s="277"/>
      <c r="F7" s="269"/>
      <c r="G7" s="272"/>
      <c r="H7" s="266"/>
    </row>
    <row r="8" spans="3:8" x14ac:dyDescent="0.25">
      <c r="C8" s="426">
        <v>8</v>
      </c>
      <c r="D8" s="207"/>
      <c r="E8" s="277"/>
      <c r="F8" s="269"/>
      <c r="G8" s="272"/>
      <c r="H8" s="266"/>
    </row>
    <row r="9" spans="3:8" x14ac:dyDescent="0.25">
      <c r="C9" s="426">
        <v>9</v>
      </c>
      <c r="D9" s="207"/>
      <c r="E9" s="277"/>
      <c r="F9" s="269"/>
      <c r="G9" s="272"/>
      <c r="H9" s="266"/>
    </row>
    <row r="10" spans="3:8" x14ac:dyDescent="0.25">
      <c r="C10" s="426">
        <v>10</v>
      </c>
      <c r="D10" s="207"/>
      <c r="E10" s="277"/>
      <c r="F10" s="269"/>
      <c r="G10" s="272"/>
      <c r="H10" s="266"/>
    </row>
    <row r="11" spans="3:8" x14ac:dyDescent="0.25">
      <c r="C11" s="426">
        <v>11</v>
      </c>
      <c r="D11" s="207"/>
      <c r="E11" s="277"/>
      <c r="F11" s="269"/>
      <c r="G11" s="272"/>
      <c r="H11" s="266"/>
    </row>
    <row r="12" spans="3:8" x14ac:dyDescent="0.25">
      <c r="C12" s="426">
        <v>12</v>
      </c>
      <c r="D12" s="207"/>
      <c r="E12" s="277"/>
      <c r="F12" s="269"/>
      <c r="G12" s="272"/>
      <c r="H12" s="266"/>
    </row>
    <row r="13" spans="3:8" x14ac:dyDescent="0.25">
      <c r="C13" s="500">
        <v>13</v>
      </c>
      <c r="D13" s="207"/>
      <c r="E13" s="277"/>
      <c r="F13" s="269"/>
      <c r="G13" s="272"/>
      <c r="H13" s="266"/>
    </row>
    <row r="14" spans="3:8" x14ac:dyDescent="0.25">
      <c r="C14" s="500"/>
      <c r="D14" s="207"/>
      <c r="E14" s="277"/>
      <c r="F14" s="269"/>
      <c r="G14" s="272"/>
      <c r="H14" s="266"/>
    </row>
    <row r="15" spans="3:8" x14ac:dyDescent="0.25">
      <c r="C15" s="426">
        <v>14</v>
      </c>
      <c r="D15" s="207"/>
      <c r="E15" s="277"/>
      <c r="F15" s="269"/>
      <c r="G15" s="272"/>
      <c r="H15" s="266"/>
    </row>
    <row r="16" spans="3:8" x14ac:dyDescent="0.25">
      <c r="C16" s="426">
        <v>15</v>
      </c>
      <c r="D16" s="207"/>
      <c r="E16" s="277"/>
      <c r="F16" s="269"/>
      <c r="G16" s="272"/>
      <c r="H16" s="266"/>
    </row>
    <row r="17" spans="3:8" x14ac:dyDescent="0.25">
      <c r="C17" s="426">
        <v>16</v>
      </c>
      <c r="D17" s="207"/>
      <c r="E17" s="277"/>
      <c r="F17" s="269"/>
      <c r="G17" s="272"/>
      <c r="H17" s="266"/>
    </row>
    <row r="18" spans="3:8" x14ac:dyDescent="0.25">
      <c r="C18" s="426">
        <v>17</v>
      </c>
      <c r="D18" s="207"/>
      <c r="E18" s="443">
        <v>0.13636363636363635</v>
      </c>
      <c r="F18" s="269"/>
      <c r="G18" s="272"/>
      <c r="H18" s="266"/>
    </row>
    <row r="19" spans="3:8" x14ac:dyDescent="0.25">
      <c r="C19" s="500">
        <v>18</v>
      </c>
      <c r="D19" s="207"/>
      <c r="E19" s="445">
        <v>0.36363636363636365</v>
      </c>
      <c r="F19" s="269"/>
      <c r="G19" s="272"/>
      <c r="H19" s="266"/>
    </row>
    <row r="20" spans="3:8" x14ac:dyDescent="0.25">
      <c r="C20" s="500"/>
      <c r="D20" s="207"/>
      <c r="E20" s="277"/>
      <c r="F20" s="269"/>
      <c r="G20" s="272"/>
      <c r="H20" s="266"/>
    </row>
    <row r="21" spans="3:8" x14ac:dyDescent="0.25">
      <c r="C21" s="500">
        <v>19</v>
      </c>
      <c r="D21" s="448">
        <v>0.58139534883720934</v>
      </c>
      <c r="E21" s="443">
        <v>8.3333333333333329E-2</v>
      </c>
      <c r="F21" s="269"/>
      <c r="G21" s="272"/>
      <c r="H21" s="266"/>
    </row>
    <row r="22" spans="3:8" x14ac:dyDescent="0.25">
      <c r="C22" s="500"/>
      <c r="D22" s="207"/>
      <c r="E22" s="277"/>
      <c r="F22" s="269"/>
      <c r="G22" s="272"/>
      <c r="H22" s="266"/>
    </row>
    <row r="23" spans="3:8" x14ac:dyDescent="0.25">
      <c r="C23" s="426">
        <v>20</v>
      </c>
      <c r="D23" s="448">
        <v>0.54838709677419351</v>
      </c>
      <c r="E23" s="277"/>
      <c r="F23" s="269"/>
      <c r="G23" s="272"/>
      <c r="H23" s="266"/>
    </row>
    <row r="24" spans="3:8" x14ac:dyDescent="0.25">
      <c r="C24" s="426">
        <v>21</v>
      </c>
      <c r="D24" s="207"/>
      <c r="E24" s="277"/>
      <c r="F24" s="269"/>
      <c r="G24" s="272"/>
      <c r="H24" s="266"/>
    </row>
    <row r="25" spans="3:8" x14ac:dyDescent="0.25">
      <c r="C25" s="426">
        <v>22</v>
      </c>
      <c r="D25" s="450">
        <v>0.26666666666666666</v>
      </c>
      <c r="E25" s="277"/>
      <c r="F25" s="269"/>
      <c r="G25" s="272"/>
      <c r="H25" s="266"/>
    </row>
    <row r="26" spans="3:8" x14ac:dyDescent="0.25">
      <c r="C26" s="426">
        <v>23</v>
      </c>
      <c r="D26" s="207"/>
      <c r="E26" s="445">
        <v>0.46666666666666667</v>
      </c>
      <c r="F26" s="269"/>
      <c r="G26" s="272"/>
      <c r="H26" s="266"/>
    </row>
    <row r="27" spans="3:8" x14ac:dyDescent="0.25">
      <c r="C27" s="426">
        <v>24</v>
      </c>
      <c r="D27" s="207"/>
      <c r="E27" s="445">
        <v>0.34782608695652173</v>
      </c>
      <c r="F27" s="269"/>
      <c r="G27" s="272"/>
      <c r="H27" s="266"/>
    </row>
    <row r="28" spans="3:8" x14ac:dyDescent="0.25">
      <c r="C28" s="426">
        <v>25</v>
      </c>
      <c r="D28" s="450">
        <v>0.17647058823529413</v>
      </c>
      <c r="E28" s="277"/>
      <c r="F28" s="269"/>
      <c r="G28" s="272"/>
      <c r="H28" s="266"/>
    </row>
    <row r="29" spans="3:8" x14ac:dyDescent="0.25">
      <c r="C29" s="426">
        <v>26</v>
      </c>
      <c r="D29" s="448">
        <v>0.51428571428571423</v>
      </c>
      <c r="E29" s="277"/>
      <c r="F29" s="269"/>
      <c r="G29" s="272"/>
      <c r="H29" s="266"/>
    </row>
    <row r="30" spans="3:8" x14ac:dyDescent="0.25">
      <c r="C30" s="500">
        <v>27</v>
      </c>
      <c r="D30" s="207"/>
      <c r="E30" s="277"/>
      <c r="F30" s="269"/>
      <c r="G30" s="272"/>
      <c r="H30" s="284">
        <v>0.30769230769230771</v>
      </c>
    </row>
    <row r="31" spans="3:8" x14ac:dyDescent="0.25">
      <c r="C31" s="500"/>
      <c r="D31" s="207"/>
      <c r="E31" s="277"/>
      <c r="F31" s="269"/>
      <c r="G31" s="272"/>
      <c r="H31" s="199">
        <v>0.47368421052631576</v>
      </c>
    </row>
    <row r="32" spans="3:8" x14ac:dyDescent="0.25">
      <c r="C32" s="500">
        <v>28</v>
      </c>
      <c r="D32" s="448">
        <v>0.30769230769230771</v>
      </c>
      <c r="E32" s="277"/>
      <c r="F32" s="269"/>
      <c r="G32" s="272"/>
      <c r="H32" s="284">
        <v>0.25</v>
      </c>
    </row>
    <row r="33" spans="3:8" x14ac:dyDescent="0.25">
      <c r="C33" s="500"/>
      <c r="D33" s="207"/>
      <c r="E33" s="277"/>
      <c r="F33" s="269"/>
      <c r="G33" s="272"/>
      <c r="H33" s="266"/>
    </row>
    <row r="34" spans="3:8" x14ac:dyDescent="0.25">
      <c r="C34" s="426">
        <v>30</v>
      </c>
      <c r="D34" s="207"/>
      <c r="E34" s="443">
        <v>0.63636363636363635</v>
      </c>
      <c r="F34" s="269"/>
      <c r="G34" s="272"/>
      <c r="H34" s="266"/>
    </row>
    <row r="35" spans="3:8" x14ac:dyDescent="0.25">
      <c r="C35" s="500">
        <v>31</v>
      </c>
      <c r="D35" s="207"/>
      <c r="E35" s="277"/>
      <c r="F35" s="269"/>
      <c r="G35" s="288">
        <v>0.1</v>
      </c>
      <c r="H35" s="199">
        <v>0.1</v>
      </c>
    </row>
    <row r="36" spans="3:8" x14ac:dyDescent="0.25">
      <c r="C36" s="500"/>
      <c r="D36" s="207"/>
      <c r="E36" s="277"/>
      <c r="F36" s="269"/>
      <c r="G36" s="288">
        <v>0.25</v>
      </c>
      <c r="H36" s="284">
        <v>0.43478260869565216</v>
      </c>
    </row>
    <row r="37" spans="3:8" x14ac:dyDescent="0.25">
      <c r="C37" s="500">
        <v>32</v>
      </c>
      <c r="D37" s="207"/>
      <c r="E37" s="277"/>
      <c r="F37" s="269"/>
      <c r="G37" s="288">
        <v>0.27777777777777779</v>
      </c>
      <c r="H37" s="284">
        <v>0.25</v>
      </c>
    </row>
    <row r="38" spans="3:8" x14ac:dyDescent="0.25">
      <c r="C38" s="500"/>
      <c r="D38" s="207"/>
      <c r="E38" s="277"/>
      <c r="F38" s="269"/>
      <c r="G38" s="289">
        <v>0</v>
      </c>
      <c r="H38" s="266"/>
    </row>
    <row r="39" spans="3:8" x14ac:dyDescent="0.25">
      <c r="C39" s="426">
        <v>33</v>
      </c>
      <c r="D39" s="207"/>
      <c r="E39" s="277"/>
      <c r="F39" s="269"/>
      <c r="G39" s="288">
        <v>0.13043478260869565</v>
      </c>
      <c r="H39" s="266"/>
    </row>
    <row r="40" spans="3:8" x14ac:dyDescent="0.25">
      <c r="C40" s="500">
        <v>34</v>
      </c>
      <c r="D40" s="207"/>
      <c r="E40" s="277"/>
      <c r="F40" s="279">
        <v>0.15789473684210525</v>
      </c>
      <c r="G40" s="288">
        <v>0.27272727272727271</v>
      </c>
      <c r="H40" s="266"/>
    </row>
    <row r="41" spans="3:8" x14ac:dyDescent="0.25">
      <c r="C41" s="500"/>
      <c r="D41" s="207"/>
      <c r="E41" s="277"/>
      <c r="F41" s="280">
        <v>0.42105263157894735</v>
      </c>
      <c r="G41" s="289">
        <v>0.47619047619047616</v>
      </c>
      <c r="H41" s="266"/>
    </row>
    <row r="42" spans="3:8" x14ac:dyDescent="0.25">
      <c r="C42" s="500"/>
      <c r="D42" s="207"/>
      <c r="E42" s="277"/>
      <c r="F42" s="279">
        <v>0.15789473684210525</v>
      </c>
      <c r="G42" s="288">
        <v>0.42857142857142855</v>
      </c>
      <c r="H42" s="266"/>
    </row>
    <row r="43" spans="3:8" x14ac:dyDescent="0.25">
      <c r="C43" s="500"/>
      <c r="D43" s="207"/>
      <c r="E43" s="277"/>
      <c r="F43" s="279">
        <v>0.14285714285714285</v>
      </c>
      <c r="G43" s="272"/>
      <c r="H43" s="266"/>
    </row>
    <row r="44" spans="3:8" x14ac:dyDescent="0.25">
      <c r="C44" s="426">
        <v>35</v>
      </c>
      <c r="D44" s="207"/>
      <c r="E44" s="277"/>
      <c r="F44" s="279">
        <v>0.10526315789473684</v>
      </c>
      <c r="G44" s="289">
        <v>0.47826086956521741</v>
      </c>
      <c r="H44" s="266"/>
    </row>
    <row r="45" spans="3:8" x14ac:dyDescent="0.25">
      <c r="C45" s="426">
        <v>36</v>
      </c>
      <c r="D45" s="207"/>
      <c r="E45" s="277"/>
      <c r="F45" s="269"/>
      <c r="G45" s="272"/>
      <c r="H45" s="266"/>
    </row>
    <row r="46" spans="3:8" x14ac:dyDescent="0.25">
      <c r="C46" s="426">
        <v>37</v>
      </c>
      <c r="D46" s="207"/>
      <c r="E46" s="277"/>
      <c r="F46" s="269"/>
      <c r="G46" s="272"/>
      <c r="H46" s="266"/>
    </row>
    <row r="47" spans="3:8" x14ac:dyDescent="0.25">
      <c r="C47" s="426">
        <v>40</v>
      </c>
      <c r="D47" s="450">
        <v>0.875</v>
      </c>
      <c r="E47" s="277"/>
      <c r="F47" s="269"/>
      <c r="G47" s="272"/>
      <c r="H47" s="266"/>
    </row>
    <row r="48" spans="3:8" x14ac:dyDescent="0.25">
      <c r="C48" s="500">
        <v>41</v>
      </c>
      <c r="D48" s="448">
        <v>0.69230769230769229</v>
      </c>
      <c r="E48" s="277"/>
      <c r="F48" s="269"/>
      <c r="G48" s="272"/>
      <c r="H48" s="266"/>
    </row>
    <row r="49" spans="3:9" x14ac:dyDescent="0.25">
      <c r="C49" s="500"/>
      <c r="D49" s="450">
        <v>0.76923076923076927</v>
      </c>
      <c r="E49" s="277"/>
      <c r="F49" s="269"/>
      <c r="G49" s="272"/>
      <c r="H49" s="266"/>
    </row>
    <row r="52" spans="3:9" x14ac:dyDescent="0.25">
      <c r="C52" s="100" t="s">
        <v>5</v>
      </c>
      <c r="D52" s="182">
        <f>AVERAGE(D2:D49)</f>
        <v>0.52571513155887184</v>
      </c>
      <c r="E52" s="144">
        <f t="shared" ref="E52:G52" si="0">AVERAGE(E2:E47)</f>
        <v>0.38303550669279568</v>
      </c>
      <c r="F52" s="195">
        <f t="shared" si="0"/>
        <v>0.19699248120300752</v>
      </c>
      <c r="G52" s="250">
        <f t="shared" si="0"/>
        <v>0.2682180674934298</v>
      </c>
      <c r="H52" s="202">
        <f>AVERAGE(H2:H47)</f>
        <v>0.30269318781904592</v>
      </c>
      <c r="I52" s="103"/>
    </row>
    <row r="53" spans="3:9" x14ac:dyDescent="0.25">
      <c r="C53" s="100" t="s">
        <v>6</v>
      </c>
      <c r="D53" s="182">
        <f t="shared" ref="D53:H53" si="1">STDEVA(D2:D49)</f>
        <v>0.23701519268885529</v>
      </c>
      <c r="E53" s="144">
        <f t="shared" si="1"/>
        <v>0.22104375824410491</v>
      </c>
      <c r="F53" s="195">
        <f t="shared" si="1"/>
        <v>0.12708768806135795</v>
      </c>
      <c r="G53" s="250">
        <f t="shared" si="1"/>
        <v>0.17056882936990167</v>
      </c>
      <c r="H53" s="202">
        <f t="shared" si="1"/>
        <v>0.13663689737901411</v>
      </c>
    </row>
    <row r="54" spans="3:9" x14ac:dyDescent="0.25">
      <c r="C54" s="100" t="s">
        <v>11</v>
      </c>
      <c r="D54" s="181">
        <f t="shared" ref="D54:H54" si="2">IF(D52+D53&gt;1,1,D52+D53)</f>
        <v>0.76273032424772713</v>
      </c>
      <c r="E54" s="143">
        <f t="shared" si="2"/>
        <v>0.60407926493690056</v>
      </c>
      <c r="F54" s="282">
        <f t="shared" si="2"/>
        <v>0.32408016926436545</v>
      </c>
      <c r="G54" s="291">
        <f t="shared" si="2"/>
        <v>0.4387868968633315</v>
      </c>
      <c r="H54" s="286">
        <f t="shared" si="2"/>
        <v>0.43933008519806005</v>
      </c>
    </row>
    <row r="55" spans="3:9" x14ac:dyDescent="0.25">
      <c r="C55" s="100" t="s">
        <v>12</v>
      </c>
      <c r="D55" s="181">
        <f t="shared" ref="D55:H55" si="3">IF(D52-D53&lt;0,0,D52-D53)</f>
        <v>0.28869993887001655</v>
      </c>
      <c r="E55" s="143">
        <f t="shared" si="3"/>
        <v>0.16199174844869077</v>
      </c>
      <c r="F55" s="282">
        <f t="shared" si="3"/>
        <v>6.9904793141649574E-2</v>
      </c>
      <c r="G55" s="291">
        <f t="shared" si="3"/>
        <v>9.7649238123528131E-2</v>
      </c>
      <c r="H55" s="286">
        <f t="shared" si="3"/>
        <v>0.16605629044003181</v>
      </c>
    </row>
    <row r="59" spans="3:9" ht="16.2" x14ac:dyDescent="0.25">
      <c r="C59" s="18" t="s">
        <v>9</v>
      </c>
      <c r="D59" s="276" t="s">
        <v>113</v>
      </c>
      <c r="E59" s="190" t="s">
        <v>116</v>
      </c>
      <c r="F59" s="168" t="s">
        <v>119</v>
      </c>
      <c r="G59" s="166" t="s">
        <v>120</v>
      </c>
      <c r="H59" s="204" t="s">
        <v>123</v>
      </c>
    </row>
    <row r="60" spans="3:9" x14ac:dyDescent="0.25">
      <c r="C60" s="18" t="s">
        <v>0</v>
      </c>
      <c r="D60" s="305">
        <v>109</v>
      </c>
      <c r="E60" s="141">
        <v>23</v>
      </c>
      <c r="F60" s="274">
        <v>11</v>
      </c>
      <c r="G60" s="292">
        <v>29</v>
      </c>
      <c r="H60" s="275">
        <v>22</v>
      </c>
    </row>
    <row r="61" spans="3:9" x14ac:dyDescent="0.25">
      <c r="C61" s="18" t="s">
        <v>1</v>
      </c>
      <c r="D61" s="305">
        <v>78</v>
      </c>
      <c r="E61" s="141">
        <v>37</v>
      </c>
      <c r="F61" s="274">
        <v>67</v>
      </c>
      <c r="G61" s="292">
        <v>91</v>
      </c>
      <c r="H61" s="275">
        <v>46</v>
      </c>
    </row>
    <row r="62" spans="3:9" x14ac:dyDescent="0.25">
      <c r="C62" s="18" t="s">
        <v>2</v>
      </c>
      <c r="D62" s="305">
        <v>187</v>
      </c>
      <c r="E62" s="141">
        <v>60</v>
      </c>
      <c r="F62" s="274">
        <v>78</v>
      </c>
      <c r="G62" s="292">
        <v>120</v>
      </c>
      <c r="H62" s="275">
        <v>68</v>
      </c>
    </row>
    <row r="63" spans="3:9" x14ac:dyDescent="0.25">
      <c r="C63" s="18" t="s">
        <v>3</v>
      </c>
      <c r="D63" s="437">
        <f t="shared" ref="D63:H63" si="4">D60/D62</f>
        <v>0.58288770053475936</v>
      </c>
      <c r="E63" s="434">
        <f t="shared" si="4"/>
        <v>0.38333333333333336</v>
      </c>
      <c r="F63" s="270">
        <f>F60/F62</f>
        <v>0.14102564102564102</v>
      </c>
      <c r="G63" s="273">
        <f t="shared" si="4"/>
        <v>0.24166666666666667</v>
      </c>
      <c r="H63" s="268">
        <f t="shared" si="4"/>
        <v>0.3235294117647059</v>
      </c>
    </row>
    <row r="64" spans="3:9" x14ac:dyDescent="0.25">
      <c r="C64" s="18" t="s">
        <v>6</v>
      </c>
      <c r="D64" s="437">
        <f>STDEVA(D21,D23,D48,D29,D32)</f>
        <v>0.14052043061545472</v>
      </c>
      <c r="E64" s="434">
        <f>STDEVA(E19,E26:E27)</f>
        <v>6.4534605157559419E-2</v>
      </c>
      <c r="F64" s="270">
        <f>STDEVA(F40,F42:F44)</f>
        <v>2.4842390478194424E-2</v>
      </c>
      <c r="G64" s="273">
        <f>STDEVA(G36:G37,G39:G40,G42)</f>
        <v>0.10615223371246869</v>
      </c>
      <c r="H64" s="268">
        <f>STDEVA(H30,H32,H36:H37)</f>
        <v>8.7129202096460245E-2</v>
      </c>
    </row>
    <row r="65" spans="3:8" x14ac:dyDescent="0.25">
      <c r="C65" s="18" t="s">
        <v>10</v>
      </c>
      <c r="D65" s="305">
        <v>5</v>
      </c>
      <c r="E65" s="141">
        <v>3</v>
      </c>
      <c r="F65" s="274">
        <v>4</v>
      </c>
      <c r="G65" s="292">
        <v>5</v>
      </c>
      <c r="H65" s="275">
        <v>4</v>
      </c>
    </row>
    <row r="66" spans="3:8" x14ac:dyDescent="0.25">
      <c r="C66" s="17" t="s">
        <v>14</v>
      </c>
      <c r="D66" s="208">
        <f>MEDIAN(D21,D23,D48,D29,D32)</f>
        <v>0.54838709677419351</v>
      </c>
      <c r="E66" s="222">
        <f>MEDIAN(E19,E26:E27)</f>
        <v>0.36363636363636365</v>
      </c>
      <c r="F66" s="244">
        <f>MEDIAN(F40,F42:F44)</f>
        <v>0.15037593984962405</v>
      </c>
      <c r="G66" s="253">
        <f>MEDIAN(G36:G37,G39:G40,G42)</f>
        <v>0.27272727272727271</v>
      </c>
      <c r="H66" s="265">
        <f>MEDIAN(H30,H32,H36:H37)</f>
        <v>0.27884615384615385</v>
      </c>
    </row>
    <row r="67" spans="3:8" x14ac:dyDescent="0.25">
      <c r="C67" s="17" t="s">
        <v>5</v>
      </c>
      <c r="D67" s="208">
        <f>AVERAGE(D21,D23,D48,D29,D32)</f>
        <v>0.52881363197942333</v>
      </c>
      <c r="E67" s="222">
        <f>AVERAGE(E19,E26:E27)</f>
        <v>0.39270970575318404</v>
      </c>
      <c r="F67" s="244">
        <f>AVERAGE(F40,F42:F44)</f>
        <v>0.14097744360902253</v>
      </c>
      <c r="G67" s="253">
        <f>AVERAGE(G36:G37,G39:G40,G42)</f>
        <v>0.27190225233703497</v>
      </c>
      <c r="H67" s="265">
        <f>AVERAGE(H30,H32,H36:H37)</f>
        <v>0.31061872909698995</v>
      </c>
    </row>
    <row r="220" ht="14.25" customHeight="1" x14ac:dyDescent="0.25"/>
    <row r="326" ht="14.25" customHeight="1" x14ac:dyDescent="0.25"/>
  </sheetData>
  <mergeCells count="9">
    <mergeCell ref="C37:C38"/>
    <mergeCell ref="C40:C43"/>
    <mergeCell ref="C48:C49"/>
    <mergeCell ref="C13:C14"/>
    <mergeCell ref="C19:C20"/>
    <mergeCell ref="C21:C22"/>
    <mergeCell ref="C30:C31"/>
    <mergeCell ref="C32:C33"/>
    <mergeCell ref="C35:C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M373"/>
  <sheetViews>
    <sheetView workbookViewId="0">
      <selection activeCell="V14" sqref="V14"/>
    </sheetView>
  </sheetViews>
  <sheetFormatPr baseColWidth="10" defaultColWidth="8.6640625" defaultRowHeight="13.8" x14ac:dyDescent="0.25"/>
  <cols>
    <col min="1" max="2" width="8.6640625" style="77"/>
    <col min="3" max="3" width="12.6640625" style="432" bestFit="1" customWidth="1"/>
    <col min="4" max="4" width="16.6640625" style="432" bestFit="1" customWidth="1"/>
    <col min="5" max="5" width="8.6640625" style="213"/>
    <col min="6" max="6" width="8.6640625" style="154"/>
    <col min="7" max="7" width="8.6640625" style="145"/>
    <col min="8" max="8" width="9.88671875" style="120" bestFit="1" customWidth="1"/>
    <col min="9" max="9" width="9.88671875" style="236" bestFit="1" customWidth="1"/>
    <col min="10" max="10" width="9.88671875" style="162" bestFit="1" customWidth="1"/>
    <col min="11" max="11" width="9.33203125" style="163" bestFit="1" customWidth="1"/>
    <col min="12" max="12" width="11" style="257" bestFit="1" customWidth="1"/>
    <col min="13" max="13" width="11" style="200" bestFit="1" customWidth="1"/>
    <col min="14" max="16384" width="8.6640625" style="77"/>
  </cols>
  <sheetData>
    <row r="1" spans="3:13" ht="16.8" x14ac:dyDescent="0.25">
      <c r="C1" s="417" t="s">
        <v>15</v>
      </c>
      <c r="D1" s="418" t="s">
        <v>112</v>
      </c>
      <c r="E1" s="209" t="s">
        <v>124</v>
      </c>
      <c r="F1" s="419" t="s">
        <v>109</v>
      </c>
      <c r="G1" s="420" t="s">
        <v>110</v>
      </c>
      <c r="H1" s="425" t="s">
        <v>125</v>
      </c>
      <c r="I1" s="422" t="s">
        <v>111</v>
      </c>
      <c r="J1" s="424" t="s">
        <v>105</v>
      </c>
      <c r="K1" s="245" t="s">
        <v>106</v>
      </c>
      <c r="L1" s="433" t="s">
        <v>107</v>
      </c>
      <c r="M1" s="423" t="s">
        <v>108</v>
      </c>
    </row>
    <row r="2" spans="3:13" x14ac:dyDescent="0.25">
      <c r="C2" s="417">
        <v>1</v>
      </c>
      <c r="D2" s="417"/>
      <c r="E2" s="210"/>
      <c r="F2" s="452"/>
      <c r="G2" s="453"/>
      <c r="H2" s="118"/>
      <c r="I2" s="233"/>
      <c r="J2" s="191"/>
      <c r="K2" s="246"/>
      <c r="L2" s="256"/>
      <c r="M2" s="198"/>
    </row>
    <row r="3" spans="3:13" x14ac:dyDescent="0.25">
      <c r="C3" s="489">
        <v>2</v>
      </c>
      <c r="D3" s="417"/>
      <c r="E3" s="211">
        <v>1</v>
      </c>
      <c r="F3" s="184">
        <v>0.83333333333333337</v>
      </c>
      <c r="G3" s="136">
        <v>0.95652173913043481</v>
      </c>
      <c r="H3" s="118"/>
      <c r="I3" s="233"/>
      <c r="J3" s="192"/>
      <c r="K3" s="246"/>
      <c r="L3" s="256"/>
      <c r="M3" s="198"/>
    </row>
    <row r="4" spans="3:13" x14ac:dyDescent="0.25">
      <c r="C4" s="489"/>
      <c r="D4" s="417"/>
      <c r="E4" s="211">
        <v>0.91304347826086951</v>
      </c>
      <c r="F4" s="175">
        <v>1</v>
      </c>
      <c r="G4" s="136">
        <v>0.95454545454545459</v>
      </c>
      <c r="H4" s="118"/>
      <c r="I4" s="233"/>
      <c r="J4" s="192"/>
      <c r="K4" s="246"/>
      <c r="L4" s="256"/>
      <c r="M4" s="198"/>
    </row>
    <row r="5" spans="3:13" x14ac:dyDescent="0.25">
      <c r="C5" s="489"/>
      <c r="D5" s="417"/>
      <c r="E5" s="210"/>
      <c r="F5" s="452"/>
      <c r="G5" s="453"/>
      <c r="H5" s="118"/>
      <c r="I5" s="233"/>
      <c r="J5" s="192"/>
      <c r="K5" s="246"/>
      <c r="L5" s="256"/>
      <c r="M5" s="198"/>
    </row>
    <row r="6" spans="3:13" x14ac:dyDescent="0.25">
      <c r="C6" s="489"/>
      <c r="D6" s="417"/>
      <c r="E6" s="210"/>
      <c r="F6" s="452"/>
      <c r="G6" s="453"/>
      <c r="H6" s="118"/>
      <c r="I6" s="233"/>
      <c r="J6" s="192"/>
      <c r="K6" s="246"/>
      <c r="L6" s="256"/>
      <c r="M6" s="198"/>
    </row>
    <row r="7" spans="3:13" x14ac:dyDescent="0.25">
      <c r="C7" s="489">
        <v>4</v>
      </c>
      <c r="D7" s="417"/>
      <c r="E7" s="210"/>
      <c r="F7" s="452"/>
      <c r="G7" s="136">
        <v>1</v>
      </c>
      <c r="H7" s="118"/>
      <c r="I7" s="233"/>
      <c r="J7" s="192"/>
      <c r="K7" s="246"/>
      <c r="L7" s="256"/>
      <c r="M7" s="198"/>
    </row>
    <row r="8" spans="3:13" x14ac:dyDescent="0.25">
      <c r="C8" s="489"/>
      <c r="D8" s="417"/>
      <c r="E8" s="210"/>
      <c r="F8" s="452"/>
      <c r="G8" s="137">
        <v>0.9</v>
      </c>
      <c r="H8" s="118"/>
      <c r="I8" s="233"/>
      <c r="J8" s="192"/>
      <c r="K8" s="246"/>
      <c r="L8" s="256"/>
      <c r="M8" s="198"/>
    </row>
    <row r="9" spans="3:13" x14ac:dyDescent="0.25">
      <c r="C9" s="417">
        <v>5</v>
      </c>
      <c r="D9" s="417"/>
      <c r="E9" s="210"/>
      <c r="F9" s="452"/>
      <c r="G9" s="453"/>
      <c r="H9" s="118"/>
      <c r="I9" s="233"/>
      <c r="J9" s="192"/>
      <c r="K9" s="246"/>
      <c r="L9" s="256"/>
      <c r="M9" s="198"/>
    </row>
    <row r="10" spans="3:13" x14ac:dyDescent="0.25">
      <c r="C10" s="417">
        <v>6</v>
      </c>
      <c r="D10" s="417"/>
      <c r="E10" s="211">
        <v>0.9285714285714286</v>
      </c>
      <c r="F10" s="452"/>
      <c r="G10" s="453"/>
      <c r="H10" s="118"/>
      <c r="I10" s="233"/>
      <c r="J10" s="192"/>
      <c r="K10" s="246"/>
      <c r="L10" s="444">
        <v>0.9375</v>
      </c>
      <c r="M10" s="198"/>
    </row>
    <row r="11" spans="3:13" x14ac:dyDescent="0.25">
      <c r="C11" s="417">
        <v>7</v>
      </c>
      <c r="D11" s="417"/>
      <c r="E11" s="210"/>
      <c r="F11" s="452"/>
      <c r="G11" s="453"/>
      <c r="H11" s="118"/>
      <c r="I11" s="233"/>
      <c r="J11" s="192"/>
      <c r="K11" s="246"/>
      <c r="L11" s="444">
        <v>0.8</v>
      </c>
      <c r="M11" s="198"/>
    </row>
    <row r="12" spans="3:13" x14ac:dyDescent="0.25">
      <c r="C12" s="417">
        <v>8</v>
      </c>
      <c r="D12" s="417"/>
      <c r="E12" s="210"/>
      <c r="F12" s="452"/>
      <c r="G12" s="453"/>
      <c r="H12" s="118"/>
      <c r="I12" s="233"/>
      <c r="J12" s="192"/>
      <c r="K12" s="246"/>
      <c r="L12" s="256"/>
      <c r="M12" s="198"/>
    </row>
    <row r="13" spans="3:13" x14ac:dyDescent="0.25">
      <c r="C13" s="417">
        <v>9</v>
      </c>
      <c r="D13" s="417"/>
      <c r="E13" s="210"/>
      <c r="F13" s="452"/>
      <c r="G13" s="453"/>
      <c r="H13" s="118"/>
      <c r="I13" s="233"/>
      <c r="J13" s="192"/>
      <c r="K13" s="246"/>
      <c r="L13" s="256"/>
      <c r="M13" s="198"/>
    </row>
    <row r="14" spans="3:13" x14ac:dyDescent="0.25">
      <c r="C14" s="489">
        <v>10</v>
      </c>
      <c r="D14" s="417"/>
      <c r="E14" s="210"/>
      <c r="F14" s="452"/>
      <c r="G14" s="453"/>
      <c r="H14" s="118"/>
      <c r="I14" s="233"/>
      <c r="J14" s="192"/>
      <c r="K14" s="246"/>
      <c r="L14" s="256"/>
      <c r="M14" s="198"/>
    </row>
    <row r="15" spans="3:13" x14ac:dyDescent="0.25">
      <c r="C15" s="489"/>
      <c r="D15" s="417"/>
      <c r="E15" s="210"/>
      <c r="F15" s="452"/>
      <c r="G15" s="453"/>
      <c r="H15" s="118"/>
      <c r="I15" s="233"/>
      <c r="J15" s="192"/>
      <c r="K15" s="246"/>
      <c r="L15" s="256"/>
      <c r="M15" s="198"/>
    </row>
    <row r="16" spans="3:13" x14ac:dyDescent="0.25">
      <c r="C16" s="417">
        <v>11</v>
      </c>
      <c r="D16" s="417"/>
      <c r="E16" s="210"/>
      <c r="F16" s="452"/>
      <c r="G16" s="453"/>
      <c r="H16" s="118"/>
      <c r="I16" s="233"/>
      <c r="J16" s="192"/>
      <c r="K16" s="246"/>
      <c r="L16" s="256"/>
      <c r="M16" s="198"/>
    </row>
    <row r="17" spans="3:13" x14ac:dyDescent="0.25">
      <c r="C17" s="417">
        <v>12</v>
      </c>
      <c r="D17" s="417"/>
      <c r="E17" s="210"/>
      <c r="F17" s="175">
        <v>0.94285714285714284</v>
      </c>
      <c r="G17" s="136">
        <v>1</v>
      </c>
      <c r="H17" s="118"/>
      <c r="I17" s="233"/>
      <c r="J17" s="192"/>
      <c r="K17" s="246"/>
      <c r="L17" s="256"/>
      <c r="M17" s="198"/>
    </row>
    <row r="18" spans="3:13" x14ac:dyDescent="0.25">
      <c r="C18" s="417">
        <v>13</v>
      </c>
      <c r="D18" s="417"/>
      <c r="E18" s="210"/>
      <c r="F18" s="175">
        <v>0.95833333333333337</v>
      </c>
      <c r="G18" s="136">
        <v>0.95833333333333337</v>
      </c>
      <c r="H18" s="118"/>
      <c r="I18" s="233"/>
      <c r="J18" s="192"/>
      <c r="K18" s="246"/>
      <c r="L18" s="256"/>
      <c r="M18" s="198"/>
    </row>
    <row r="19" spans="3:13" x14ac:dyDescent="0.25">
      <c r="C19" s="489">
        <v>14</v>
      </c>
      <c r="D19" s="417"/>
      <c r="E19" s="210"/>
      <c r="F19" s="175">
        <v>1</v>
      </c>
      <c r="G19" s="136">
        <v>1</v>
      </c>
      <c r="H19" s="118"/>
      <c r="I19" s="233"/>
      <c r="J19" s="192"/>
      <c r="K19" s="246"/>
      <c r="L19" s="256"/>
      <c r="M19" s="198"/>
    </row>
    <row r="20" spans="3:13" x14ac:dyDescent="0.25">
      <c r="C20" s="489"/>
      <c r="D20" s="417"/>
      <c r="E20" s="210"/>
      <c r="F20" s="175">
        <v>1</v>
      </c>
      <c r="G20" s="453"/>
      <c r="H20" s="118"/>
      <c r="I20" s="233"/>
      <c r="J20" s="192"/>
      <c r="K20" s="246"/>
      <c r="L20" s="256"/>
      <c r="M20" s="198"/>
    </row>
    <row r="21" spans="3:13" x14ac:dyDescent="0.25">
      <c r="C21" s="417">
        <v>15</v>
      </c>
      <c r="D21" s="448">
        <v>1</v>
      </c>
      <c r="E21" s="211">
        <v>1</v>
      </c>
      <c r="F21" s="175">
        <v>1</v>
      </c>
      <c r="G21" s="136">
        <v>1</v>
      </c>
      <c r="H21" s="116">
        <v>0.95238095238095233</v>
      </c>
      <c r="I21" s="233"/>
      <c r="J21" s="192"/>
      <c r="K21" s="246"/>
      <c r="L21" s="256"/>
      <c r="M21" s="198"/>
    </row>
    <row r="22" spans="3:13" x14ac:dyDescent="0.25">
      <c r="C22" s="417">
        <v>16</v>
      </c>
      <c r="D22" s="417"/>
      <c r="E22" s="211">
        <v>1</v>
      </c>
      <c r="F22" s="452"/>
      <c r="G22" s="136">
        <v>0.90909090909090906</v>
      </c>
      <c r="H22" s="116">
        <v>0.875</v>
      </c>
      <c r="I22" s="233"/>
      <c r="J22" s="192"/>
      <c r="K22" s="246"/>
      <c r="L22" s="256"/>
      <c r="M22" s="198"/>
    </row>
    <row r="23" spans="3:13" x14ac:dyDescent="0.25">
      <c r="C23" s="417">
        <v>17</v>
      </c>
      <c r="D23" s="417"/>
      <c r="E23" s="211">
        <v>1</v>
      </c>
      <c r="F23" s="452"/>
      <c r="G23" s="136">
        <v>1</v>
      </c>
      <c r="H23" s="119">
        <v>1</v>
      </c>
      <c r="I23" s="233"/>
      <c r="J23" s="192"/>
      <c r="K23" s="246"/>
      <c r="L23" s="256"/>
      <c r="M23" s="198"/>
    </row>
    <row r="24" spans="3:13" x14ac:dyDescent="0.25">
      <c r="C24" s="489">
        <v>18</v>
      </c>
      <c r="D24" s="417"/>
      <c r="E24" s="211">
        <v>1</v>
      </c>
      <c r="F24" s="175">
        <v>1</v>
      </c>
      <c r="G24" s="453"/>
      <c r="H24" s="119">
        <v>0.6875</v>
      </c>
      <c r="I24" s="233"/>
      <c r="J24" s="192"/>
      <c r="K24" s="246"/>
      <c r="L24" s="444">
        <v>0.84615384615384615</v>
      </c>
      <c r="M24" s="198"/>
    </row>
    <row r="25" spans="3:13" x14ac:dyDescent="0.25">
      <c r="C25" s="489"/>
      <c r="D25" s="417"/>
      <c r="E25" s="210"/>
      <c r="F25" s="452"/>
      <c r="G25" s="453"/>
      <c r="H25" s="119">
        <v>0.75</v>
      </c>
      <c r="I25" s="233"/>
      <c r="J25" s="192"/>
      <c r="K25" s="246"/>
      <c r="L25" s="256"/>
      <c r="M25" s="198"/>
    </row>
    <row r="26" spans="3:13" x14ac:dyDescent="0.25">
      <c r="C26" s="417">
        <v>19</v>
      </c>
      <c r="D26" s="417"/>
      <c r="E26" s="210"/>
      <c r="F26" s="452"/>
      <c r="G26" s="453"/>
      <c r="H26" s="116">
        <v>0.95238095238095233</v>
      </c>
      <c r="I26" s="233"/>
      <c r="J26" s="192"/>
      <c r="K26" s="246"/>
      <c r="L26" s="442">
        <v>1</v>
      </c>
      <c r="M26" s="198"/>
    </row>
    <row r="27" spans="3:13" x14ac:dyDescent="0.25">
      <c r="C27" s="417">
        <v>20</v>
      </c>
      <c r="D27" s="417"/>
      <c r="E27" s="211">
        <v>1</v>
      </c>
      <c r="F27" s="452"/>
      <c r="G27" s="453"/>
      <c r="H27" s="118"/>
      <c r="I27" s="233"/>
      <c r="J27" s="192"/>
      <c r="K27" s="246"/>
      <c r="L27" s="256"/>
      <c r="M27" s="198"/>
    </row>
    <row r="28" spans="3:13" x14ac:dyDescent="0.25">
      <c r="C28" s="417">
        <v>21</v>
      </c>
      <c r="D28" s="417"/>
      <c r="E28" s="211">
        <v>1</v>
      </c>
      <c r="F28" s="452"/>
      <c r="G28" s="453"/>
      <c r="H28" s="118"/>
      <c r="I28" s="233"/>
      <c r="J28" s="192"/>
      <c r="K28" s="246"/>
      <c r="L28" s="256"/>
      <c r="M28" s="198"/>
    </row>
    <row r="29" spans="3:13" x14ac:dyDescent="0.25">
      <c r="C29" s="417">
        <v>22</v>
      </c>
      <c r="D29" s="417"/>
      <c r="E29" s="210"/>
      <c r="F29" s="452"/>
      <c r="G29" s="453"/>
      <c r="H29" s="118"/>
      <c r="I29" s="233"/>
      <c r="J29" s="192"/>
      <c r="K29" s="246"/>
      <c r="L29" s="256"/>
      <c r="M29" s="198"/>
    </row>
    <row r="30" spans="3:13" x14ac:dyDescent="0.25">
      <c r="C30" s="417">
        <v>23</v>
      </c>
      <c r="D30" s="417"/>
      <c r="E30" s="211"/>
      <c r="F30" s="452"/>
      <c r="G30" s="453"/>
      <c r="H30" s="118"/>
      <c r="I30" s="233"/>
      <c r="J30" s="192"/>
      <c r="K30" s="246"/>
      <c r="L30" s="256"/>
      <c r="M30" s="198"/>
    </row>
    <row r="31" spans="3:13" x14ac:dyDescent="0.25">
      <c r="C31" s="417">
        <v>26</v>
      </c>
      <c r="D31" s="448">
        <v>1</v>
      </c>
      <c r="E31" s="210"/>
      <c r="F31" s="452"/>
      <c r="G31" s="453"/>
      <c r="H31" s="118"/>
      <c r="I31" s="233"/>
      <c r="J31" s="192"/>
      <c r="K31" s="246"/>
      <c r="L31" s="256"/>
      <c r="M31" s="198"/>
    </row>
    <row r="32" spans="3:13" x14ac:dyDescent="0.25">
      <c r="C32" s="417">
        <v>27</v>
      </c>
      <c r="D32" s="417"/>
      <c r="E32" s="210"/>
      <c r="F32" s="452"/>
      <c r="G32" s="453"/>
      <c r="H32" s="118"/>
      <c r="I32" s="233"/>
      <c r="J32" s="192"/>
      <c r="K32" s="246"/>
      <c r="L32" s="256"/>
      <c r="M32" s="198"/>
    </row>
    <row r="33" spans="3:13" x14ac:dyDescent="0.25">
      <c r="C33" s="489">
        <v>28</v>
      </c>
      <c r="D33" s="417"/>
      <c r="E33" s="211">
        <v>1</v>
      </c>
      <c r="F33" s="452"/>
      <c r="G33" s="453"/>
      <c r="H33" s="118"/>
      <c r="I33" s="233"/>
      <c r="J33" s="192"/>
      <c r="K33" s="247">
        <v>0.78723404255319152</v>
      </c>
      <c r="L33" s="256"/>
      <c r="M33" s="176">
        <v>0.6875</v>
      </c>
    </row>
    <row r="34" spans="3:13" x14ac:dyDescent="0.25">
      <c r="C34" s="489"/>
      <c r="D34" s="417"/>
      <c r="E34" s="210"/>
      <c r="F34" s="452"/>
      <c r="G34" s="453"/>
      <c r="H34" s="118"/>
      <c r="I34" s="233"/>
      <c r="J34" s="192"/>
      <c r="K34" s="247">
        <v>0.75</v>
      </c>
      <c r="L34" s="256"/>
      <c r="M34" s="198"/>
    </row>
    <row r="35" spans="3:13" x14ac:dyDescent="0.25">
      <c r="C35" s="498">
        <v>29</v>
      </c>
      <c r="D35" s="417"/>
      <c r="E35" s="212">
        <v>0.41666666666666669</v>
      </c>
      <c r="F35" s="452"/>
      <c r="G35" s="453"/>
      <c r="H35" s="116">
        <v>0.7857142857142857</v>
      </c>
      <c r="I35" s="233"/>
      <c r="J35" s="192"/>
      <c r="K35" s="247">
        <v>0.61111111111111116</v>
      </c>
      <c r="L35" s="442">
        <v>0.6470588235294118</v>
      </c>
      <c r="M35" s="199">
        <v>0.5</v>
      </c>
    </row>
    <row r="36" spans="3:13" x14ac:dyDescent="0.25">
      <c r="C36" s="499"/>
      <c r="D36" s="417"/>
      <c r="E36" s="210"/>
      <c r="F36" s="452"/>
      <c r="G36" s="453"/>
      <c r="H36" s="118"/>
      <c r="I36" s="233"/>
      <c r="J36" s="192"/>
      <c r="K36" s="248">
        <v>0.43478260869565216</v>
      </c>
      <c r="L36" s="256"/>
      <c r="M36" s="198"/>
    </row>
    <row r="37" spans="3:13" x14ac:dyDescent="0.25">
      <c r="C37" s="417">
        <v>30</v>
      </c>
      <c r="D37" s="417"/>
      <c r="E37" s="211">
        <v>1</v>
      </c>
      <c r="F37" s="452"/>
      <c r="G37" s="453"/>
      <c r="H37" s="119">
        <v>1</v>
      </c>
      <c r="I37" s="233"/>
      <c r="J37" s="192"/>
      <c r="K37" s="248">
        <v>0.94444444444444442</v>
      </c>
      <c r="L37" s="444">
        <v>0.90909090909090906</v>
      </c>
      <c r="M37" s="198"/>
    </row>
    <row r="38" spans="3:13" x14ac:dyDescent="0.25">
      <c r="C38" s="489">
        <v>31</v>
      </c>
      <c r="D38" s="448">
        <v>1</v>
      </c>
      <c r="E38" s="210"/>
      <c r="F38" s="175">
        <v>1</v>
      </c>
      <c r="G38" s="137">
        <v>0.81818181818181823</v>
      </c>
      <c r="H38" s="116">
        <v>0.81818181818181823</v>
      </c>
      <c r="I38" s="234">
        <v>0.90476190476190477</v>
      </c>
      <c r="J38" s="178">
        <v>0.8571428571428571</v>
      </c>
      <c r="K38" s="247">
        <v>0.76190476190476186</v>
      </c>
      <c r="L38" s="442">
        <v>1</v>
      </c>
      <c r="M38" s="199">
        <v>0.47368421052631576</v>
      </c>
    </row>
    <row r="39" spans="3:13" x14ac:dyDescent="0.25">
      <c r="C39" s="489"/>
      <c r="D39" s="417"/>
      <c r="E39" s="210"/>
      <c r="F39" s="452"/>
      <c r="G39" s="453"/>
      <c r="H39" s="118"/>
      <c r="I39" s="177">
        <v>0.95652173913043481</v>
      </c>
      <c r="J39" s="193">
        <v>0.73684210526315785</v>
      </c>
      <c r="K39" s="248">
        <v>0.95454545454545459</v>
      </c>
      <c r="L39" s="256"/>
      <c r="M39" s="198"/>
    </row>
    <row r="40" spans="3:13" x14ac:dyDescent="0.25">
      <c r="C40" s="489"/>
      <c r="D40" s="417"/>
      <c r="E40" s="210"/>
      <c r="F40" s="452"/>
      <c r="G40" s="453"/>
      <c r="H40" s="118"/>
      <c r="I40" s="177">
        <v>0.95454545454545459</v>
      </c>
      <c r="J40" s="178">
        <v>0.91304347826086951</v>
      </c>
      <c r="K40" s="247">
        <v>0.86956521739130432</v>
      </c>
      <c r="L40" s="256"/>
      <c r="M40" s="198"/>
    </row>
    <row r="41" spans="3:13" x14ac:dyDescent="0.25">
      <c r="C41" s="417">
        <v>32</v>
      </c>
      <c r="D41" s="417"/>
      <c r="E41" s="210"/>
      <c r="F41" s="452"/>
      <c r="G41" s="453"/>
      <c r="H41" s="118"/>
      <c r="I41" s="235">
        <v>1</v>
      </c>
      <c r="J41" s="178">
        <v>0.875</v>
      </c>
      <c r="K41" s="246"/>
      <c r="L41" s="256"/>
      <c r="M41" s="198"/>
    </row>
    <row r="42" spans="3:13" x14ac:dyDescent="0.25">
      <c r="C42" s="417">
        <v>33</v>
      </c>
      <c r="D42" s="417"/>
      <c r="E42" s="210"/>
      <c r="F42" s="452"/>
      <c r="G42" s="453"/>
      <c r="H42" s="118"/>
      <c r="I42" s="235">
        <v>1</v>
      </c>
      <c r="J42" s="193">
        <v>1</v>
      </c>
      <c r="K42" s="246"/>
      <c r="L42" s="256"/>
      <c r="M42" s="176">
        <v>0.7</v>
      </c>
    </row>
    <row r="43" spans="3:13" x14ac:dyDescent="0.25">
      <c r="C43" s="417">
        <v>35</v>
      </c>
      <c r="D43" s="417"/>
      <c r="E43" s="210"/>
      <c r="F43" s="452"/>
      <c r="G43" s="453"/>
      <c r="H43" s="118"/>
      <c r="I43" s="233"/>
      <c r="J43" s="192"/>
      <c r="K43" s="246"/>
      <c r="L43" s="256"/>
      <c r="M43" s="198"/>
    </row>
    <row r="44" spans="3:13" x14ac:dyDescent="0.25">
      <c r="C44" s="417">
        <v>36</v>
      </c>
      <c r="D44" s="417"/>
      <c r="E44" s="210"/>
      <c r="F44" s="452"/>
      <c r="G44" s="453"/>
      <c r="H44" s="118"/>
      <c r="I44" s="233"/>
      <c r="J44" s="192"/>
      <c r="K44" s="246"/>
      <c r="L44" s="256"/>
      <c r="M44" s="198"/>
    </row>
    <row r="45" spans="3:13" x14ac:dyDescent="0.25">
      <c r="C45" s="417">
        <v>37</v>
      </c>
      <c r="D45" s="417"/>
      <c r="E45" s="210"/>
      <c r="F45" s="452"/>
      <c r="G45" s="453"/>
      <c r="H45" s="118"/>
      <c r="I45" s="233"/>
      <c r="J45" s="192"/>
      <c r="K45" s="246"/>
      <c r="L45" s="256"/>
      <c r="M45" s="198"/>
    </row>
    <row r="46" spans="3:13" x14ac:dyDescent="0.25">
      <c r="C46" s="489">
        <v>38</v>
      </c>
      <c r="D46" s="417"/>
      <c r="E46" s="211">
        <v>0.84375</v>
      </c>
      <c r="F46" s="452"/>
      <c r="G46" s="453"/>
      <c r="H46" s="118"/>
      <c r="I46" s="233"/>
      <c r="J46" s="192"/>
      <c r="K46" s="246"/>
      <c r="L46" s="256"/>
      <c r="M46" s="198"/>
    </row>
    <row r="47" spans="3:13" x14ac:dyDescent="0.25">
      <c r="C47" s="489"/>
      <c r="D47" s="417"/>
      <c r="E47" s="210"/>
      <c r="F47" s="452"/>
      <c r="G47" s="453"/>
      <c r="H47" s="118"/>
      <c r="I47" s="233"/>
      <c r="J47" s="192"/>
      <c r="K47" s="246"/>
      <c r="L47" s="256"/>
      <c r="M47" s="198"/>
    </row>
    <row r="48" spans="3:13" x14ac:dyDescent="0.25">
      <c r="C48" s="417">
        <v>39</v>
      </c>
      <c r="D48" s="417"/>
      <c r="E48" s="211">
        <v>1</v>
      </c>
      <c r="F48" s="452"/>
      <c r="G48" s="453"/>
      <c r="H48" s="118"/>
      <c r="I48" s="233"/>
      <c r="J48" s="192"/>
      <c r="K48" s="246"/>
      <c r="L48" s="256"/>
      <c r="M48" s="198"/>
    </row>
    <row r="49" spans="3:13" x14ac:dyDescent="0.25">
      <c r="C49" s="417">
        <v>40</v>
      </c>
      <c r="D49" s="417"/>
      <c r="E49" s="210"/>
      <c r="F49" s="452"/>
      <c r="G49" s="453"/>
      <c r="H49" s="119">
        <v>1</v>
      </c>
      <c r="I49" s="233"/>
      <c r="J49" s="192"/>
      <c r="K49" s="246"/>
      <c r="L49" s="444">
        <v>0.83333333333333337</v>
      </c>
      <c r="M49" s="199">
        <v>0.9</v>
      </c>
    </row>
    <row r="50" spans="3:13" x14ac:dyDescent="0.25">
      <c r="C50" s="417">
        <v>41</v>
      </c>
      <c r="D50" s="448">
        <v>1</v>
      </c>
      <c r="E50" s="210"/>
      <c r="F50" s="452"/>
      <c r="G50" s="453"/>
      <c r="H50" s="118"/>
      <c r="I50" s="233"/>
      <c r="J50" s="192"/>
      <c r="K50" s="246"/>
      <c r="L50" s="256"/>
      <c r="M50" s="198"/>
    </row>
    <row r="51" spans="3:13" x14ac:dyDescent="0.25">
      <c r="C51" s="417">
        <v>42</v>
      </c>
      <c r="D51" s="417"/>
      <c r="E51" s="211">
        <v>1</v>
      </c>
      <c r="F51" s="185">
        <v>0.90909090909090906</v>
      </c>
      <c r="G51" s="136">
        <v>1</v>
      </c>
      <c r="H51" s="118"/>
      <c r="I51" s="233"/>
      <c r="J51" s="192"/>
      <c r="K51" s="246"/>
      <c r="L51" s="256"/>
      <c r="M51" s="198"/>
    </row>
    <row r="52" spans="3:13" x14ac:dyDescent="0.25">
      <c r="C52" s="417">
        <v>43</v>
      </c>
      <c r="D52" s="417"/>
      <c r="E52" s="210"/>
      <c r="F52" s="452"/>
      <c r="G52" s="453"/>
      <c r="H52" s="118"/>
      <c r="I52" s="233"/>
      <c r="J52" s="192"/>
      <c r="K52" s="246"/>
      <c r="L52" s="256"/>
      <c r="M52" s="198"/>
    </row>
    <row r="53" spans="3:13" x14ac:dyDescent="0.25">
      <c r="C53" s="417">
        <v>44</v>
      </c>
      <c r="D53" s="417"/>
      <c r="E53" s="210"/>
      <c r="F53" s="452"/>
      <c r="G53" s="453"/>
      <c r="H53" s="118"/>
      <c r="I53" s="233"/>
      <c r="J53" s="192"/>
      <c r="K53" s="246"/>
      <c r="L53" s="256"/>
      <c r="M53" s="198"/>
    </row>
    <row r="54" spans="3:13" x14ac:dyDescent="0.25">
      <c r="C54" s="417">
        <v>45</v>
      </c>
      <c r="D54" s="448">
        <v>1</v>
      </c>
      <c r="E54" s="210"/>
      <c r="F54" s="452"/>
      <c r="G54" s="453"/>
      <c r="H54" s="118"/>
      <c r="I54" s="233"/>
      <c r="J54" s="192"/>
      <c r="K54" s="246"/>
      <c r="L54" s="444">
        <v>0.90909090909090906</v>
      </c>
      <c r="M54" s="198"/>
    </row>
    <row r="55" spans="3:13" x14ac:dyDescent="0.25">
      <c r="C55" s="417">
        <v>34</v>
      </c>
      <c r="D55" s="448">
        <v>1</v>
      </c>
      <c r="E55" s="210"/>
      <c r="F55" s="452"/>
      <c r="G55" s="453"/>
      <c r="H55" s="118"/>
      <c r="I55" s="235">
        <v>1</v>
      </c>
      <c r="J55" s="193">
        <v>1</v>
      </c>
      <c r="K55" s="246"/>
      <c r="L55" s="256"/>
      <c r="M55" s="198"/>
    </row>
    <row r="56" spans="3:13" x14ac:dyDescent="0.25">
      <c r="C56" s="417">
        <v>46</v>
      </c>
      <c r="D56" s="448">
        <v>1</v>
      </c>
      <c r="E56" s="210"/>
      <c r="F56" s="452"/>
      <c r="G56" s="453"/>
      <c r="H56" s="118"/>
      <c r="I56" s="233"/>
      <c r="J56" s="192"/>
      <c r="K56" s="246"/>
      <c r="L56" s="256"/>
      <c r="M56" s="198"/>
    </row>
    <row r="57" spans="3:13" x14ac:dyDescent="0.25">
      <c r="C57" s="417">
        <v>47</v>
      </c>
      <c r="D57" s="417"/>
      <c r="E57" s="210"/>
      <c r="F57" s="452"/>
      <c r="G57" s="453"/>
      <c r="H57" s="118"/>
      <c r="I57" s="233"/>
      <c r="J57" s="192"/>
      <c r="K57" s="246"/>
      <c r="L57" s="444">
        <v>0.8</v>
      </c>
      <c r="M57" s="176">
        <v>0.63157894736842102</v>
      </c>
    </row>
    <row r="58" spans="3:13" x14ac:dyDescent="0.25">
      <c r="C58" s="417">
        <v>48</v>
      </c>
      <c r="D58" s="417"/>
      <c r="E58" s="210"/>
      <c r="F58" s="452"/>
      <c r="G58" s="453"/>
      <c r="H58" s="118"/>
      <c r="I58" s="233"/>
      <c r="J58" s="192"/>
      <c r="K58" s="246"/>
      <c r="L58" s="256"/>
      <c r="M58" s="176">
        <v>0.75294117647058822</v>
      </c>
    </row>
    <row r="61" spans="3:13" x14ac:dyDescent="0.25">
      <c r="C61" s="432" t="s">
        <v>5</v>
      </c>
      <c r="D61" s="181">
        <f t="shared" ref="D61:E61" si="0">AVERAGE(D2:D58)</f>
        <v>1</v>
      </c>
      <c r="E61" s="214">
        <f t="shared" si="0"/>
        <v>0.94013543823326429</v>
      </c>
      <c r="F61" s="186">
        <f t="shared" ref="F61:H61" si="1">AVERAGE(F2:F54)</f>
        <v>0.9643614718614717</v>
      </c>
      <c r="G61" s="139">
        <f t="shared" si="1"/>
        <v>0.95805610452349577</v>
      </c>
      <c r="H61" s="121">
        <f t="shared" si="1"/>
        <v>0.88211580086580099</v>
      </c>
      <c r="I61" s="237">
        <f>AVERAGE(I2:I55)</f>
        <v>0.96930484973963227</v>
      </c>
      <c r="J61" s="194">
        <f>AVERAGE(J2:J55)</f>
        <v>0.89700474011114739</v>
      </c>
      <c r="K61" s="249">
        <f>AVERAGE(K2:K54)</f>
        <v>0.76419845508074014</v>
      </c>
      <c r="L61" s="258">
        <f>AVERAGE(L2:L58)</f>
        <v>0.86822278211984094</v>
      </c>
      <c r="M61" s="201">
        <f>AVERAGE(M2:M58)</f>
        <v>0.66367204776647504</v>
      </c>
    </row>
    <row r="62" spans="3:13" x14ac:dyDescent="0.25">
      <c r="C62" s="432" t="s">
        <v>6</v>
      </c>
      <c r="D62" s="182">
        <f t="shared" ref="D62:M62" si="2">STDEVA(D2:D58)</f>
        <v>0</v>
      </c>
      <c r="E62" s="215">
        <f t="shared" si="2"/>
        <v>0.15203355631340623</v>
      </c>
      <c r="F62" s="187">
        <f t="shared" si="2"/>
        <v>5.6117546218677455E-2</v>
      </c>
      <c r="G62" s="144">
        <f t="shared" si="2"/>
        <v>5.7130962484526635E-2</v>
      </c>
      <c r="H62" s="122">
        <f t="shared" si="2"/>
        <v>0.11562668469584976</v>
      </c>
      <c r="I62" s="238">
        <f t="shared" si="2"/>
        <v>3.8402125353325198E-2</v>
      </c>
      <c r="J62" s="195">
        <f t="shared" si="2"/>
        <v>9.9195298420002576E-2</v>
      </c>
      <c r="K62" s="250">
        <f t="shared" si="2"/>
        <v>0.17423743310505746</v>
      </c>
      <c r="L62" s="259">
        <f t="shared" si="2"/>
        <v>0.10687308931467322</v>
      </c>
      <c r="M62" s="202">
        <f t="shared" si="2"/>
        <v>0.14698143555113316</v>
      </c>
    </row>
    <row r="63" spans="3:13" x14ac:dyDescent="0.25">
      <c r="C63" s="432" t="s">
        <v>7</v>
      </c>
      <c r="D63" s="181">
        <f t="shared" ref="D63:M63" si="3">IF(D61+D62&gt;1,1,D61+D62)</f>
        <v>1</v>
      </c>
      <c r="E63" s="214">
        <f t="shared" si="3"/>
        <v>1</v>
      </c>
      <c r="F63" s="186">
        <f t="shared" si="3"/>
        <v>1</v>
      </c>
      <c r="G63" s="139">
        <f t="shared" si="3"/>
        <v>1</v>
      </c>
      <c r="H63" s="121">
        <f t="shared" si="3"/>
        <v>0.99774248556165079</v>
      </c>
      <c r="I63" s="237">
        <f t="shared" si="3"/>
        <v>1</v>
      </c>
      <c r="J63" s="194">
        <f t="shared" si="3"/>
        <v>0.99620003853115002</v>
      </c>
      <c r="K63" s="249">
        <f t="shared" si="3"/>
        <v>0.9384358881857976</v>
      </c>
      <c r="L63" s="258">
        <f t="shared" si="3"/>
        <v>0.97509587143451415</v>
      </c>
      <c r="M63" s="201">
        <f t="shared" si="3"/>
        <v>0.81065348331760823</v>
      </c>
    </row>
    <row r="64" spans="3:13" x14ac:dyDescent="0.25">
      <c r="C64" s="432" t="s">
        <v>8</v>
      </c>
      <c r="D64" s="182">
        <f t="shared" ref="D64:M64" si="4">IF(D61-D62&lt;0,0,D61-D62)</f>
        <v>1</v>
      </c>
      <c r="E64" s="216">
        <f t="shared" si="4"/>
        <v>0.78810188191985808</v>
      </c>
      <c r="F64" s="188">
        <f t="shared" si="4"/>
        <v>0.90824392564279421</v>
      </c>
      <c r="G64" s="138">
        <f t="shared" si="4"/>
        <v>0.90092514203896912</v>
      </c>
      <c r="H64" s="123">
        <f t="shared" si="4"/>
        <v>0.76648911616995119</v>
      </c>
      <c r="I64" s="239">
        <f t="shared" si="4"/>
        <v>0.93090272438630706</v>
      </c>
      <c r="J64" s="196">
        <f t="shared" si="4"/>
        <v>0.79780944169114476</v>
      </c>
      <c r="K64" s="251">
        <f t="shared" si="4"/>
        <v>0.58996102197568268</v>
      </c>
      <c r="L64" s="260">
        <f t="shared" si="4"/>
        <v>0.76134969280516773</v>
      </c>
      <c r="M64" s="203">
        <f t="shared" si="4"/>
        <v>0.51669061221534185</v>
      </c>
    </row>
    <row r="69" spans="3:13" ht="16.2" x14ac:dyDescent="0.25">
      <c r="C69" s="17" t="s">
        <v>9</v>
      </c>
      <c r="D69" s="183" t="s">
        <v>113</v>
      </c>
      <c r="E69" s="217" t="s">
        <v>114</v>
      </c>
      <c r="F69" s="165" t="s">
        <v>115</v>
      </c>
      <c r="G69" s="190" t="s">
        <v>116</v>
      </c>
      <c r="H69" s="124" t="s">
        <v>122</v>
      </c>
      <c r="I69" s="240" t="s">
        <v>118</v>
      </c>
      <c r="J69" s="168" t="s">
        <v>119</v>
      </c>
      <c r="K69" s="166" t="s">
        <v>120</v>
      </c>
      <c r="L69" s="261" t="s">
        <v>121</v>
      </c>
      <c r="M69" s="204" t="s">
        <v>123</v>
      </c>
    </row>
    <row r="70" spans="3:13" x14ac:dyDescent="0.25">
      <c r="C70" s="17" t="s">
        <v>0</v>
      </c>
      <c r="D70" s="305">
        <v>132</v>
      </c>
      <c r="E70" s="218">
        <v>204</v>
      </c>
      <c r="F70" s="412">
        <v>197</v>
      </c>
      <c r="G70" s="413">
        <v>234</v>
      </c>
      <c r="H70" s="414">
        <v>81</v>
      </c>
      <c r="I70" s="241">
        <v>91</v>
      </c>
      <c r="J70" s="329">
        <v>60</v>
      </c>
      <c r="K70" s="159">
        <v>109</v>
      </c>
      <c r="L70" s="415">
        <v>94</v>
      </c>
      <c r="M70" s="205">
        <v>101</v>
      </c>
    </row>
    <row r="71" spans="3:13" x14ac:dyDescent="0.25">
      <c r="C71" s="17" t="s">
        <v>1</v>
      </c>
      <c r="D71" s="305">
        <v>0</v>
      </c>
      <c r="E71" s="218">
        <v>8</v>
      </c>
      <c r="F71" s="412">
        <v>8</v>
      </c>
      <c r="G71" s="413">
        <v>6</v>
      </c>
      <c r="H71" s="414">
        <v>10</v>
      </c>
      <c r="I71" s="241">
        <v>2</v>
      </c>
      <c r="J71" s="329">
        <v>8</v>
      </c>
      <c r="K71" s="159">
        <v>43</v>
      </c>
      <c r="L71" s="415">
        <v>15</v>
      </c>
      <c r="M71" s="205">
        <v>39</v>
      </c>
    </row>
    <row r="72" spans="3:13" x14ac:dyDescent="0.25">
      <c r="C72" s="17" t="s">
        <v>2</v>
      </c>
      <c r="D72" s="305">
        <v>132</v>
      </c>
      <c r="E72" s="218">
        <v>212</v>
      </c>
      <c r="F72" s="412">
        <v>205</v>
      </c>
      <c r="G72" s="413">
        <v>240</v>
      </c>
      <c r="H72" s="414">
        <v>91</v>
      </c>
      <c r="I72" s="241">
        <v>93</v>
      </c>
      <c r="J72" s="329">
        <v>68</v>
      </c>
      <c r="K72" s="159">
        <v>152</v>
      </c>
      <c r="L72" s="415">
        <v>109</v>
      </c>
      <c r="M72" s="205">
        <v>140</v>
      </c>
    </row>
    <row r="73" spans="3:13" x14ac:dyDescent="0.25">
      <c r="C73" s="17" t="s">
        <v>3</v>
      </c>
      <c r="D73" s="437">
        <f t="shared" ref="D73:L73" si="5">D70/D72</f>
        <v>1</v>
      </c>
      <c r="E73" s="219">
        <f t="shared" si="5"/>
        <v>0.96226415094339623</v>
      </c>
      <c r="F73" s="189">
        <f t="shared" si="5"/>
        <v>0.96097560975609753</v>
      </c>
      <c r="G73" s="140">
        <f t="shared" si="5"/>
        <v>0.97499999999999998</v>
      </c>
      <c r="H73" s="126">
        <f t="shared" si="5"/>
        <v>0.89010989010989006</v>
      </c>
      <c r="I73" s="242">
        <f t="shared" si="5"/>
        <v>0.978494623655914</v>
      </c>
      <c r="J73" s="197">
        <f t="shared" si="5"/>
        <v>0.88235294117647056</v>
      </c>
      <c r="K73" s="252">
        <f t="shared" si="5"/>
        <v>0.71710526315789469</v>
      </c>
      <c r="L73" s="263">
        <f t="shared" si="5"/>
        <v>0.86238532110091748</v>
      </c>
      <c r="M73" s="206">
        <f>M70/M72</f>
        <v>0.72142857142857142</v>
      </c>
    </row>
    <row r="74" spans="3:13" x14ac:dyDescent="0.25">
      <c r="C74" s="17" t="s">
        <v>6</v>
      </c>
      <c r="D74" s="437">
        <f>STDEVA(D21,D31,D38,D50,D54)</f>
        <v>0</v>
      </c>
      <c r="E74" s="219">
        <f>STDEVA(E3:E4,E10,E21:E24,E27:E28,E30,E33,E37,E46,E48,E51)</f>
        <v>4.8043611026084176E-2</v>
      </c>
      <c r="F74" s="189">
        <f>STDEVA(F4,F17:F21,F24,F38,F51)</f>
        <v>3.4034249012442286E-2</v>
      </c>
      <c r="G74" s="140">
        <f>STDEVA(G3:G4,G7,G17:G19,G21:G23,G51)</f>
        <v>3.1711274552421627E-2</v>
      </c>
      <c r="H74" s="126">
        <f>STDEVA(H21:H22,H35,H38)</f>
        <v>7.3046436380179103E-2</v>
      </c>
      <c r="I74" s="242">
        <f>STDEVA(I39:I42)</f>
        <v>2.5685364578237006E-2</v>
      </c>
      <c r="J74" s="197">
        <f>STDEVA(J38,J40:J41)</f>
        <v>2.8551308290471374E-2</v>
      </c>
      <c r="K74" s="252">
        <f>STDEVA(K33:K35,K38,K40)</f>
        <v>9.3456237775754888E-2</v>
      </c>
      <c r="L74" s="263">
        <f>STDEVA(L10:L11,L24,L37,L49,L54,L57)</f>
        <v>5.6118981615386927E-2</v>
      </c>
      <c r="M74" s="206">
        <f>STDEVA(M33,M57:M58,M42)</f>
        <v>4.9815460256855904E-2</v>
      </c>
    </row>
    <row r="75" spans="3:13" x14ac:dyDescent="0.25">
      <c r="C75" s="17" t="s">
        <v>10</v>
      </c>
      <c r="D75" s="305">
        <v>7</v>
      </c>
      <c r="E75" s="218">
        <v>14</v>
      </c>
      <c r="F75" s="412">
        <v>9</v>
      </c>
      <c r="G75" s="413">
        <v>10</v>
      </c>
      <c r="H75" s="414">
        <v>5</v>
      </c>
      <c r="I75" s="241">
        <v>5</v>
      </c>
      <c r="J75" s="329">
        <v>3</v>
      </c>
      <c r="K75" s="159">
        <v>6</v>
      </c>
      <c r="L75" s="415">
        <v>7</v>
      </c>
      <c r="M75" s="205">
        <v>4</v>
      </c>
    </row>
    <row r="76" spans="3:13" x14ac:dyDescent="0.25">
      <c r="C76" s="17" t="s">
        <v>14</v>
      </c>
      <c r="D76" s="208">
        <f>MEDIAN(D21,D31,D38,D50,D54)</f>
        <v>1</v>
      </c>
      <c r="E76" s="220">
        <f>MEDIAN(E3:E4,E10,E21:E24,E27:E28,E30,E33,E37,E46,E48,E51)</f>
        <v>1</v>
      </c>
      <c r="F76" s="221">
        <f>MEDIAN(F4,F17:F21,F24,F38,F51)</f>
        <v>1</v>
      </c>
      <c r="G76" s="222">
        <f>MEDIAN(G3:G4,G7,G17:G19,G21:G23,G51)</f>
        <v>1</v>
      </c>
      <c r="H76" s="232">
        <f>MEDIAN(H21:H22,H35,H38)</f>
        <v>0.84659090909090917</v>
      </c>
      <c r="I76" s="243">
        <f>MEDIAN(I39:I42)</f>
        <v>0.97826086956521741</v>
      </c>
      <c r="J76" s="244">
        <f>MEDIAN(J38,J40:J41)</f>
        <v>0.875</v>
      </c>
      <c r="K76" s="253">
        <f>MEDIAN(K33:K35,K38,K40)</f>
        <v>0.76190476190476186</v>
      </c>
      <c r="L76" s="264">
        <f>MEDIAN(L10:L11,L24,L37,L49,L54,L57)</f>
        <v>0.84615384615384615</v>
      </c>
      <c r="M76" s="265">
        <f>MEDIAN(M33,M57:M58,M42)</f>
        <v>0.69374999999999998</v>
      </c>
    </row>
    <row r="77" spans="3:13" x14ac:dyDescent="0.25">
      <c r="C77" s="17" t="s">
        <v>5</v>
      </c>
      <c r="D77" s="208">
        <f>AVERAGE(D21,D31,D38,D50,D54)</f>
        <v>1</v>
      </c>
      <c r="E77" s="220">
        <f>AVERAGE(E3:E4,E10,E21:E24,E27:E28,E30,E33,E37,E46,E48,E51)</f>
        <v>0.9775260647737356</v>
      </c>
      <c r="F77" s="221">
        <f>AVERAGE(F4,F17:F21,F24,F38,F51)</f>
        <v>0.97892015392015397</v>
      </c>
      <c r="G77" s="222">
        <f>AVERAGE(G3:G4,G7,G17:G19,G21:G23,G51)</f>
        <v>0.97784914361001329</v>
      </c>
      <c r="H77" s="232">
        <f>AVERAGE(H21:H22,H35,H38)</f>
        <v>0.85781926406926412</v>
      </c>
      <c r="I77" s="243">
        <f>AVERAGE(I39:I42)</f>
        <v>0.9777667984189724</v>
      </c>
      <c r="J77" s="244">
        <f>AVERAGE(J38,J40:J41)</f>
        <v>0.88172877846790898</v>
      </c>
      <c r="K77" s="253">
        <f>AVERAGE(K33:K35,K38,K40)</f>
        <v>0.75596302659207371</v>
      </c>
      <c r="L77" s="264">
        <f>AVERAGE(L10:L11,L24,L37,L49,L54,L57)</f>
        <v>0.86216699966699972</v>
      </c>
      <c r="M77" s="265">
        <f>AVERAGE(M33,M57:M58,M42)</f>
        <v>0.69300503095975241</v>
      </c>
    </row>
    <row r="222" ht="16.5" customHeight="1" x14ac:dyDescent="0.25"/>
    <row r="246" ht="14.4" customHeight="1" x14ac:dyDescent="0.25"/>
    <row r="247" ht="14.4" customHeight="1" x14ac:dyDescent="0.25"/>
    <row r="258" ht="14.4" customHeight="1" x14ac:dyDescent="0.25"/>
    <row r="310" ht="16.5" customHeight="1" x14ac:dyDescent="0.25"/>
    <row r="373" ht="16.5" customHeight="1" x14ac:dyDescent="0.25"/>
  </sheetData>
  <mergeCells count="9">
    <mergeCell ref="C35:C36"/>
    <mergeCell ref="C38:C40"/>
    <mergeCell ref="C46:C47"/>
    <mergeCell ref="C3:C6"/>
    <mergeCell ref="C7:C8"/>
    <mergeCell ref="C14:C15"/>
    <mergeCell ref="C19:C20"/>
    <mergeCell ref="C24:C25"/>
    <mergeCell ref="C33:C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74"/>
  <sheetViews>
    <sheetView workbookViewId="0">
      <selection activeCell="J7" sqref="J7"/>
    </sheetView>
  </sheetViews>
  <sheetFormatPr baseColWidth="10" defaultColWidth="8.6640625" defaultRowHeight="16.2" x14ac:dyDescent="0.25"/>
  <cols>
    <col min="1" max="1" width="8.6640625" style="101"/>
    <col min="2" max="2" width="22.88671875" style="323" bestFit="1" customWidth="1"/>
    <col min="3" max="3" width="8.6640625" style="160"/>
    <col min="4" max="4" width="8.6640625" style="162"/>
    <col min="5" max="5" width="8.6640625" style="459"/>
    <col min="6" max="6" width="8.6640625" style="315"/>
    <col min="7" max="7" width="8.6640625" style="257"/>
    <col min="8" max="8" width="10" style="200" bestFit="1" customWidth="1"/>
    <col min="9" max="16384" width="8.6640625" style="99"/>
  </cols>
  <sheetData>
    <row r="1" spans="1:8" s="322" customFormat="1" ht="16.8" x14ac:dyDescent="0.25">
      <c r="A1" s="314"/>
      <c r="B1" s="316" t="s">
        <v>126</v>
      </c>
      <c r="C1" s="309" t="s">
        <v>109</v>
      </c>
      <c r="D1" s="424" t="s">
        <v>187</v>
      </c>
      <c r="E1" s="457" t="s">
        <v>186</v>
      </c>
      <c r="F1" s="428" t="s">
        <v>188</v>
      </c>
      <c r="G1" s="255" t="s">
        <v>107</v>
      </c>
      <c r="H1" s="310" t="s">
        <v>108</v>
      </c>
    </row>
    <row r="2" spans="1:8" x14ac:dyDescent="0.25">
      <c r="B2" s="324">
        <v>2.35</v>
      </c>
      <c r="C2" s="154">
        <v>2.44</v>
      </c>
      <c r="D2" s="155">
        <v>2.33</v>
      </c>
      <c r="E2" s="458">
        <v>3.21</v>
      </c>
      <c r="F2" s="312">
        <v>2.15</v>
      </c>
      <c r="G2" s="254">
        <v>1.82</v>
      </c>
      <c r="H2" s="267">
        <v>1.42</v>
      </c>
    </row>
    <row r="3" spans="1:8" x14ac:dyDescent="0.25">
      <c r="B3" s="324">
        <v>2.77</v>
      </c>
      <c r="C3" s="154">
        <v>2.17</v>
      </c>
      <c r="D3" s="155">
        <v>2.1800000000000002</v>
      </c>
      <c r="E3" s="458">
        <v>2.82</v>
      </c>
      <c r="F3" s="312">
        <v>1.83</v>
      </c>
      <c r="G3" s="254">
        <v>1.83</v>
      </c>
      <c r="H3" s="267">
        <v>1.38</v>
      </c>
    </row>
    <row r="4" spans="1:8" x14ac:dyDescent="0.25">
      <c r="B4" s="324">
        <v>2.79</v>
      </c>
      <c r="C4" s="154">
        <v>2.11</v>
      </c>
      <c r="D4" s="155">
        <v>2.34</v>
      </c>
      <c r="E4" s="458">
        <v>2.88</v>
      </c>
      <c r="F4" s="312">
        <v>2.46</v>
      </c>
      <c r="G4" s="254">
        <v>1.62</v>
      </c>
      <c r="H4" s="267">
        <v>1.45</v>
      </c>
    </row>
    <row r="5" spans="1:8" x14ac:dyDescent="0.25">
      <c r="B5" s="324">
        <v>1.96</v>
      </c>
      <c r="C5" s="154">
        <v>2.33</v>
      </c>
      <c r="D5" s="155">
        <v>2.4300000000000002</v>
      </c>
      <c r="E5" s="458">
        <v>2.29</v>
      </c>
      <c r="F5" s="312">
        <v>2.86</v>
      </c>
      <c r="G5" s="254">
        <v>1.63</v>
      </c>
      <c r="H5" s="267">
        <v>1.88</v>
      </c>
    </row>
    <row r="6" spans="1:8" x14ac:dyDescent="0.25">
      <c r="B6" s="324">
        <v>1.7</v>
      </c>
      <c r="C6" s="154">
        <v>2.0499999999999998</v>
      </c>
      <c r="D6" s="155">
        <v>2.62</v>
      </c>
      <c r="E6" s="458">
        <v>2.15</v>
      </c>
      <c r="F6" s="312">
        <v>2.56</v>
      </c>
      <c r="G6" s="254">
        <v>1.08</v>
      </c>
      <c r="H6" s="267">
        <v>1.86</v>
      </c>
    </row>
    <row r="7" spans="1:8" x14ac:dyDescent="0.25">
      <c r="B7" s="324">
        <v>1.99</v>
      </c>
      <c r="C7" s="154">
        <v>1.95</v>
      </c>
      <c r="D7" s="155">
        <v>2.65</v>
      </c>
      <c r="E7" s="458">
        <v>2.2599999999999998</v>
      </c>
      <c r="F7" s="312">
        <v>2.99</v>
      </c>
      <c r="G7" s="254">
        <v>1.43</v>
      </c>
      <c r="H7" s="267">
        <v>1.63</v>
      </c>
    </row>
    <row r="8" spans="1:8" x14ac:dyDescent="0.25">
      <c r="B8" s="324">
        <v>2.73</v>
      </c>
      <c r="C8" s="154">
        <v>2.12</v>
      </c>
      <c r="D8" s="155">
        <v>2.3199999999999998</v>
      </c>
      <c r="E8" s="458">
        <v>2.41</v>
      </c>
      <c r="F8" s="312">
        <v>2.33</v>
      </c>
      <c r="G8" s="254">
        <v>1.54</v>
      </c>
      <c r="H8" s="267">
        <v>2.0699999999999998</v>
      </c>
    </row>
    <row r="9" spans="1:8" x14ac:dyDescent="0.25">
      <c r="B9" s="324">
        <v>2.98</v>
      </c>
      <c r="C9" s="154">
        <v>2.1800000000000002</v>
      </c>
      <c r="D9" s="155">
        <v>1.66</v>
      </c>
      <c r="E9" s="458">
        <v>2.36</v>
      </c>
      <c r="F9" s="312">
        <v>2.3199999999999998</v>
      </c>
      <c r="G9" s="254">
        <v>1.58</v>
      </c>
      <c r="H9" s="267">
        <v>1.54</v>
      </c>
    </row>
    <row r="10" spans="1:8" x14ac:dyDescent="0.25">
      <c r="B10" s="324">
        <v>1.89</v>
      </c>
      <c r="C10" s="154">
        <v>2.2599999999999998</v>
      </c>
      <c r="D10" s="155">
        <v>2.56</v>
      </c>
      <c r="E10" s="458">
        <v>2.2999999999999998</v>
      </c>
      <c r="F10" s="312">
        <v>2.87</v>
      </c>
      <c r="G10" s="254">
        <v>1.23</v>
      </c>
      <c r="H10" s="267">
        <v>2.08</v>
      </c>
    </row>
    <row r="11" spans="1:8" x14ac:dyDescent="0.25">
      <c r="B11" s="324">
        <v>1.85</v>
      </c>
      <c r="C11" s="154">
        <v>2.48</v>
      </c>
      <c r="D11" s="155">
        <v>2.34</v>
      </c>
      <c r="E11" s="458">
        <v>2</v>
      </c>
      <c r="F11" s="312">
        <v>2.56</v>
      </c>
      <c r="G11" s="254">
        <v>1.24</v>
      </c>
      <c r="H11" s="267">
        <v>1.77</v>
      </c>
    </row>
    <row r="12" spans="1:8" x14ac:dyDescent="0.25">
      <c r="B12" s="324">
        <v>1.73</v>
      </c>
      <c r="C12" s="154">
        <v>2.1</v>
      </c>
      <c r="D12" s="155">
        <v>2.04</v>
      </c>
      <c r="E12" s="458">
        <v>2.35</v>
      </c>
      <c r="F12" s="312">
        <v>2.5299999999999998</v>
      </c>
      <c r="G12" s="254">
        <v>1.41</v>
      </c>
      <c r="H12" s="267">
        <v>2.25</v>
      </c>
    </row>
    <row r="13" spans="1:8" x14ac:dyDescent="0.25">
      <c r="B13" s="324">
        <v>2.02</v>
      </c>
      <c r="C13" s="154">
        <v>1.89</v>
      </c>
      <c r="D13" s="155">
        <v>2.42</v>
      </c>
      <c r="E13" s="458">
        <v>1.92</v>
      </c>
      <c r="F13" s="312">
        <v>2.2799999999999998</v>
      </c>
      <c r="G13" s="254">
        <v>1.34</v>
      </c>
    </row>
    <row r="14" spans="1:8" x14ac:dyDescent="0.25">
      <c r="B14" s="324">
        <v>2.08</v>
      </c>
      <c r="C14" s="154">
        <v>2.0099999999999998</v>
      </c>
      <c r="D14" s="155">
        <v>1.97</v>
      </c>
      <c r="E14" s="458">
        <v>2.65</v>
      </c>
      <c r="F14" s="312">
        <v>2.33</v>
      </c>
      <c r="G14" s="254">
        <v>1.77</v>
      </c>
    </row>
    <row r="15" spans="1:8" x14ac:dyDescent="0.25">
      <c r="B15" s="324">
        <v>2.14</v>
      </c>
      <c r="C15" s="154">
        <v>2.5099999999999998</v>
      </c>
      <c r="D15" s="155">
        <v>2.82</v>
      </c>
      <c r="E15" s="458">
        <v>2.15</v>
      </c>
      <c r="F15" s="312">
        <v>2.74</v>
      </c>
      <c r="G15" s="254">
        <v>1.59</v>
      </c>
    </row>
    <row r="16" spans="1:8" x14ac:dyDescent="0.25">
      <c r="B16" s="324">
        <v>2.76</v>
      </c>
      <c r="C16" s="154">
        <v>2.5099999999999998</v>
      </c>
      <c r="D16" s="155">
        <v>2.85</v>
      </c>
      <c r="E16" s="458">
        <v>2.5499999999999998</v>
      </c>
      <c r="F16" s="312">
        <v>2.42</v>
      </c>
      <c r="G16" s="254">
        <v>1.33</v>
      </c>
    </row>
    <row r="17" spans="2:7" x14ac:dyDescent="0.25">
      <c r="B17" s="324">
        <v>1.74</v>
      </c>
      <c r="C17" s="154">
        <v>2.4</v>
      </c>
      <c r="D17" s="155">
        <v>2.79</v>
      </c>
      <c r="E17" s="458">
        <v>2.61</v>
      </c>
      <c r="F17" s="312">
        <v>2.96</v>
      </c>
      <c r="G17" s="254">
        <v>1.71</v>
      </c>
    </row>
    <row r="18" spans="2:7" x14ac:dyDescent="0.25">
      <c r="B18" s="324">
        <v>2.04</v>
      </c>
      <c r="C18" s="154">
        <v>1.9</v>
      </c>
      <c r="D18" s="155">
        <v>2.6</v>
      </c>
      <c r="E18" s="458">
        <v>2.27</v>
      </c>
      <c r="F18" s="312">
        <v>2.29</v>
      </c>
      <c r="G18" s="254">
        <v>1.33</v>
      </c>
    </row>
    <row r="19" spans="2:7" x14ac:dyDescent="0.25">
      <c r="B19" s="324">
        <v>1.5</v>
      </c>
      <c r="C19" s="154">
        <v>2.5099999999999998</v>
      </c>
      <c r="D19" s="155">
        <v>2.84</v>
      </c>
      <c r="E19" s="458">
        <v>2.6</v>
      </c>
      <c r="F19" s="312">
        <v>2.7</v>
      </c>
      <c r="G19" s="254">
        <v>1.42</v>
      </c>
    </row>
    <row r="20" spans="2:7" x14ac:dyDescent="0.25">
      <c r="B20" s="324">
        <v>2.06</v>
      </c>
      <c r="C20" s="154">
        <v>2.61</v>
      </c>
      <c r="D20" s="155">
        <v>1.79</v>
      </c>
      <c r="E20" s="458">
        <v>2.0499999999999998</v>
      </c>
      <c r="F20" s="312">
        <v>2.17</v>
      </c>
      <c r="G20" s="254">
        <v>1.64</v>
      </c>
    </row>
    <row r="21" spans="2:7" x14ac:dyDescent="0.25">
      <c r="B21" s="324">
        <v>1.69</v>
      </c>
      <c r="C21" s="154">
        <v>2.61</v>
      </c>
      <c r="D21" s="155">
        <v>2.25</v>
      </c>
      <c r="E21" s="458">
        <v>2.38</v>
      </c>
      <c r="F21" s="312">
        <v>2.29</v>
      </c>
      <c r="G21" s="254">
        <v>1.79</v>
      </c>
    </row>
    <row r="22" spans="2:7" x14ac:dyDescent="0.25">
      <c r="B22" s="324">
        <v>1.99</v>
      </c>
      <c r="C22" s="154">
        <v>1.73</v>
      </c>
      <c r="D22" s="155">
        <v>2.1</v>
      </c>
      <c r="E22" s="458">
        <v>1.99</v>
      </c>
      <c r="F22" s="312">
        <v>2.04</v>
      </c>
      <c r="G22" s="254">
        <v>2.0099999999999998</v>
      </c>
    </row>
    <row r="23" spans="2:7" x14ac:dyDescent="0.25">
      <c r="B23" s="324">
        <v>2.2799999999999998</v>
      </c>
      <c r="C23" s="154">
        <v>1.97</v>
      </c>
      <c r="D23" s="155">
        <v>2.25</v>
      </c>
      <c r="E23" s="458">
        <v>2.63</v>
      </c>
      <c r="F23" s="312">
        <v>2.17</v>
      </c>
      <c r="G23" s="254">
        <v>2.1800000000000002</v>
      </c>
    </row>
    <row r="24" spans="2:7" x14ac:dyDescent="0.25">
      <c r="B24" s="324">
        <v>1.76</v>
      </c>
      <c r="C24" s="154">
        <v>2.23</v>
      </c>
      <c r="D24" s="155">
        <v>1.83</v>
      </c>
      <c r="F24" s="312">
        <v>2.75</v>
      </c>
      <c r="G24" s="254">
        <v>1.72</v>
      </c>
    </row>
    <row r="25" spans="2:7" x14ac:dyDescent="0.25">
      <c r="B25" s="324">
        <v>1.9</v>
      </c>
      <c r="C25" s="154">
        <v>2.21</v>
      </c>
      <c r="D25" s="155">
        <v>2.19</v>
      </c>
      <c r="F25" s="312">
        <v>2.14</v>
      </c>
      <c r="G25" s="254">
        <v>2.0499999999999998</v>
      </c>
    </row>
    <row r="26" spans="2:7" x14ac:dyDescent="0.25">
      <c r="B26" s="324">
        <v>2.59</v>
      </c>
      <c r="C26" s="154">
        <v>2.38</v>
      </c>
      <c r="D26" s="155">
        <v>2.02</v>
      </c>
      <c r="F26" s="312">
        <v>2.67</v>
      </c>
      <c r="G26" s="254">
        <v>2.44</v>
      </c>
    </row>
    <row r="27" spans="2:7" x14ac:dyDescent="0.25">
      <c r="B27" s="324">
        <v>2.69</v>
      </c>
      <c r="C27" s="154">
        <v>2.34</v>
      </c>
      <c r="D27" s="155">
        <v>1.63</v>
      </c>
      <c r="F27" s="312">
        <v>2.67</v>
      </c>
      <c r="G27" s="254">
        <v>1.86</v>
      </c>
    </row>
    <row r="28" spans="2:7" x14ac:dyDescent="0.25">
      <c r="B28" s="324">
        <v>3.1</v>
      </c>
      <c r="C28" s="154">
        <v>2.02</v>
      </c>
      <c r="D28" s="155">
        <v>2.4700000000000002</v>
      </c>
      <c r="F28" s="312">
        <v>2.6</v>
      </c>
      <c r="G28" s="254">
        <v>1.95</v>
      </c>
    </row>
    <row r="29" spans="2:7" x14ac:dyDescent="0.25">
      <c r="B29" s="324">
        <v>2.92</v>
      </c>
      <c r="C29" s="154">
        <v>2.0299999999999998</v>
      </c>
      <c r="D29" s="155">
        <v>2.87</v>
      </c>
      <c r="F29" s="312">
        <v>2.36</v>
      </c>
      <c r="G29" s="254">
        <v>2.4300000000000002</v>
      </c>
    </row>
    <row r="30" spans="2:7" x14ac:dyDescent="0.25">
      <c r="B30" s="324">
        <v>3.89</v>
      </c>
      <c r="C30" s="154">
        <v>1.91</v>
      </c>
      <c r="D30" s="155">
        <v>2.11</v>
      </c>
      <c r="F30" s="312">
        <v>2.61</v>
      </c>
      <c r="G30" s="254">
        <v>1.51</v>
      </c>
    </row>
    <row r="31" spans="2:7" x14ac:dyDescent="0.25">
      <c r="B31" s="324">
        <v>3.12</v>
      </c>
      <c r="C31" s="154">
        <v>2.88</v>
      </c>
      <c r="D31" s="155">
        <v>1.79</v>
      </c>
      <c r="F31" s="312">
        <v>2.21</v>
      </c>
      <c r="G31" s="254">
        <v>1.3</v>
      </c>
    </row>
    <row r="32" spans="2:7" x14ac:dyDescent="0.25">
      <c r="B32" s="324">
        <v>3.12</v>
      </c>
      <c r="C32" s="154">
        <v>1.97</v>
      </c>
      <c r="D32" s="155">
        <v>2.62</v>
      </c>
      <c r="F32" s="312">
        <v>2.59</v>
      </c>
      <c r="G32" s="254">
        <v>1.05</v>
      </c>
    </row>
    <row r="33" spans="2:7" x14ac:dyDescent="0.25">
      <c r="B33" s="324">
        <v>2.44</v>
      </c>
      <c r="C33" s="154">
        <v>2.16</v>
      </c>
      <c r="D33" s="155">
        <v>2.57</v>
      </c>
      <c r="F33" s="312">
        <v>2.73</v>
      </c>
      <c r="G33" s="254">
        <v>1.66</v>
      </c>
    </row>
    <row r="34" spans="2:7" x14ac:dyDescent="0.25">
      <c r="B34" s="324">
        <v>3.37</v>
      </c>
      <c r="C34" s="154">
        <v>2.4700000000000002</v>
      </c>
      <c r="D34" s="155">
        <v>2.2400000000000002</v>
      </c>
      <c r="F34" s="312">
        <v>2.75</v>
      </c>
      <c r="G34" s="254">
        <v>1.27</v>
      </c>
    </row>
    <row r="35" spans="2:7" x14ac:dyDescent="0.25">
      <c r="B35" s="324">
        <v>3.59</v>
      </c>
      <c r="C35" s="154">
        <v>2.31</v>
      </c>
      <c r="D35" s="155">
        <v>2.73</v>
      </c>
      <c r="F35" s="312">
        <v>2.41</v>
      </c>
      <c r="G35" s="254">
        <v>1.82</v>
      </c>
    </row>
    <row r="36" spans="2:7" x14ac:dyDescent="0.25">
      <c r="B36" s="324">
        <v>3.21</v>
      </c>
      <c r="C36" s="154">
        <v>2.52</v>
      </c>
      <c r="D36" s="155">
        <v>2.36</v>
      </c>
      <c r="F36" s="312">
        <v>2.4700000000000002</v>
      </c>
      <c r="G36" s="254">
        <v>1.9</v>
      </c>
    </row>
    <row r="37" spans="2:7" x14ac:dyDescent="0.25">
      <c r="B37" s="324">
        <v>3.4</v>
      </c>
      <c r="C37" s="154">
        <v>1.4</v>
      </c>
      <c r="D37" s="155">
        <v>2.44</v>
      </c>
      <c r="F37" s="312">
        <v>2.09</v>
      </c>
      <c r="G37" s="254">
        <v>1.72</v>
      </c>
    </row>
    <row r="38" spans="2:7" x14ac:dyDescent="0.25">
      <c r="B38" s="324">
        <v>3.23</v>
      </c>
      <c r="C38" s="154">
        <v>2.69</v>
      </c>
      <c r="D38" s="155">
        <v>2.5099999999999998</v>
      </c>
      <c r="F38" s="312">
        <v>2.2200000000000002</v>
      </c>
      <c r="G38" s="254">
        <v>1.75</v>
      </c>
    </row>
    <row r="39" spans="2:7" x14ac:dyDescent="0.25">
      <c r="B39" s="324">
        <v>3.29</v>
      </c>
      <c r="C39" s="154">
        <v>2.7</v>
      </c>
      <c r="D39" s="155">
        <v>2.2200000000000002</v>
      </c>
      <c r="F39" s="312">
        <v>2.66</v>
      </c>
      <c r="G39" s="254">
        <v>1.7</v>
      </c>
    </row>
    <row r="40" spans="2:7" x14ac:dyDescent="0.25">
      <c r="B40" s="324">
        <v>2.59</v>
      </c>
      <c r="D40" s="155">
        <v>2.61</v>
      </c>
      <c r="F40" s="312">
        <v>1.88</v>
      </c>
      <c r="G40" s="254">
        <v>2.25</v>
      </c>
    </row>
    <row r="41" spans="2:7" x14ac:dyDescent="0.25">
      <c r="B41" s="325">
        <v>2.97</v>
      </c>
      <c r="D41" s="155">
        <v>1.97</v>
      </c>
      <c r="F41" s="312">
        <v>1.87</v>
      </c>
      <c r="G41" s="254">
        <v>1.82</v>
      </c>
    </row>
    <row r="42" spans="2:7" x14ac:dyDescent="0.25">
      <c r="B42" s="325">
        <v>3.41</v>
      </c>
      <c r="D42" s="155">
        <v>2.12</v>
      </c>
      <c r="F42" s="312">
        <v>2.11</v>
      </c>
      <c r="G42" s="254">
        <v>2.09</v>
      </c>
    </row>
    <row r="43" spans="2:7" x14ac:dyDescent="0.25">
      <c r="B43" s="325">
        <v>3.05</v>
      </c>
      <c r="D43" s="155">
        <v>2.34</v>
      </c>
      <c r="F43" s="312">
        <v>1.68</v>
      </c>
      <c r="G43" s="254">
        <v>1.75</v>
      </c>
    </row>
    <row r="44" spans="2:7" x14ac:dyDescent="0.25">
      <c r="B44" s="325">
        <v>2.59</v>
      </c>
      <c r="D44" s="155">
        <v>2.15</v>
      </c>
      <c r="F44" s="312">
        <v>2.2200000000000002</v>
      </c>
      <c r="G44" s="254">
        <v>1.8</v>
      </c>
    </row>
    <row r="45" spans="2:7" x14ac:dyDescent="0.25">
      <c r="B45" s="325">
        <v>2.4500000000000002</v>
      </c>
      <c r="D45" s="155">
        <v>2.64</v>
      </c>
      <c r="F45" s="312">
        <v>2.15</v>
      </c>
      <c r="G45" s="254">
        <v>1.74</v>
      </c>
    </row>
    <row r="46" spans="2:7" x14ac:dyDescent="0.25">
      <c r="B46" s="325">
        <v>2.81</v>
      </c>
      <c r="D46" s="155">
        <v>2.44</v>
      </c>
      <c r="F46" s="312">
        <v>2.2400000000000002</v>
      </c>
      <c r="G46" s="254">
        <v>1.76</v>
      </c>
    </row>
    <row r="47" spans="2:7" x14ac:dyDescent="0.25">
      <c r="B47" s="325">
        <v>2.85</v>
      </c>
      <c r="D47" s="155">
        <v>3.16</v>
      </c>
      <c r="F47" s="312">
        <v>2.4900000000000002</v>
      </c>
    </row>
    <row r="48" spans="2:7" x14ac:dyDescent="0.25">
      <c r="B48" s="324">
        <v>2.14</v>
      </c>
      <c r="F48" s="312">
        <v>2.2000000000000002</v>
      </c>
    </row>
    <row r="49" spans="2:6" x14ac:dyDescent="0.25">
      <c r="B49" s="324">
        <v>2.21</v>
      </c>
      <c r="F49" s="312">
        <v>2.31</v>
      </c>
    </row>
    <row r="50" spans="2:6" x14ac:dyDescent="0.25">
      <c r="B50" s="324">
        <v>1.9</v>
      </c>
      <c r="F50" s="312">
        <v>2.06</v>
      </c>
    </row>
    <row r="51" spans="2:6" x14ac:dyDescent="0.25">
      <c r="B51" s="324">
        <v>2.37</v>
      </c>
      <c r="F51" s="312">
        <v>2.77</v>
      </c>
    </row>
    <row r="52" spans="2:6" x14ac:dyDescent="0.25">
      <c r="B52" s="324">
        <v>2.0099999999999998</v>
      </c>
      <c r="F52" s="312">
        <v>2.04</v>
      </c>
    </row>
    <row r="53" spans="2:6" x14ac:dyDescent="0.25">
      <c r="B53" s="324">
        <v>2.59</v>
      </c>
      <c r="F53" s="312">
        <v>2.29</v>
      </c>
    </row>
    <row r="54" spans="2:6" x14ac:dyDescent="0.25">
      <c r="B54" s="324">
        <v>2.44</v>
      </c>
      <c r="F54" s="312">
        <v>2.76</v>
      </c>
    </row>
    <row r="55" spans="2:6" x14ac:dyDescent="0.25">
      <c r="B55" s="324">
        <v>2.52</v>
      </c>
      <c r="F55" s="312">
        <v>2.08</v>
      </c>
    </row>
    <row r="56" spans="2:6" x14ac:dyDescent="0.25">
      <c r="B56" s="324">
        <v>3.14</v>
      </c>
      <c r="F56" s="312">
        <v>2.5499999999999998</v>
      </c>
    </row>
    <row r="57" spans="2:6" x14ac:dyDescent="0.25">
      <c r="B57" s="324">
        <v>2.5099999999999998</v>
      </c>
      <c r="F57" s="312">
        <v>2.42</v>
      </c>
    </row>
    <row r="58" spans="2:6" x14ac:dyDescent="0.25">
      <c r="B58" s="324">
        <v>2.86</v>
      </c>
      <c r="F58" s="312">
        <v>2.2599999999999998</v>
      </c>
    </row>
    <row r="59" spans="2:6" x14ac:dyDescent="0.25">
      <c r="B59" s="324">
        <v>2.5099999999999998</v>
      </c>
      <c r="F59" s="312">
        <v>2.39</v>
      </c>
    </row>
    <row r="60" spans="2:6" x14ac:dyDescent="0.25">
      <c r="B60" s="324">
        <v>2.76</v>
      </c>
      <c r="F60" s="312">
        <v>2.79</v>
      </c>
    </row>
    <row r="61" spans="2:6" x14ac:dyDescent="0.25">
      <c r="B61" s="324">
        <v>2.46</v>
      </c>
      <c r="F61" s="312">
        <v>2.37</v>
      </c>
    </row>
    <row r="62" spans="2:6" x14ac:dyDescent="0.25">
      <c r="B62" s="325">
        <v>2.7</v>
      </c>
      <c r="F62" s="312">
        <v>2.17</v>
      </c>
    </row>
    <row r="63" spans="2:6" x14ac:dyDescent="0.25">
      <c r="B63" s="325">
        <v>2.95</v>
      </c>
      <c r="F63" s="312">
        <v>2.11</v>
      </c>
    </row>
    <row r="64" spans="2:6" x14ac:dyDescent="0.25">
      <c r="B64" s="326"/>
      <c r="F64" s="312">
        <v>2.6</v>
      </c>
    </row>
    <row r="65" spans="1:8" x14ac:dyDescent="0.25">
      <c r="B65" s="326"/>
      <c r="F65" s="312">
        <v>1.91</v>
      </c>
    </row>
    <row r="66" spans="1:8" x14ac:dyDescent="0.25">
      <c r="B66" s="326"/>
      <c r="F66" s="312">
        <v>2.71</v>
      </c>
    </row>
    <row r="67" spans="1:8" x14ac:dyDescent="0.25">
      <c r="B67" s="326"/>
      <c r="F67" s="312">
        <v>1.91</v>
      </c>
    </row>
    <row r="68" spans="1:8" x14ac:dyDescent="0.25">
      <c r="B68" s="326"/>
      <c r="F68" s="312">
        <v>2.65</v>
      </c>
    </row>
    <row r="70" spans="1:8" x14ac:dyDescent="0.25">
      <c r="A70" s="17" t="s">
        <v>5</v>
      </c>
      <c r="B70" s="327">
        <f>AVERAGE(B2:B68)</f>
        <v>2.5395161290322581</v>
      </c>
      <c r="C70" s="318">
        <f t="shared" ref="C70:H70" si="0">AVERAGE(C2:C68)</f>
        <v>2.2384210526315784</v>
      </c>
      <c r="D70" s="319">
        <f t="shared" si="0"/>
        <v>2.3517391304347828</v>
      </c>
      <c r="E70" s="460">
        <f t="shared" si="0"/>
        <v>2.4013636363636368</v>
      </c>
      <c r="F70" s="462">
        <f t="shared" si="0"/>
        <v>2.3846268656716418</v>
      </c>
      <c r="G70" s="320">
        <f t="shared" si="0"/>
        <v>1.6857777777777772</v>
      </c>
      <c r="H70" s="321">
        <f t="shared" si="0"/>
        <v>1.7572727272727275</v>
      </c>
    </row>
    <row r="71" spans="1:8" x14ac:dyDescent="0.25">
      <c r="A71" s="17" t="s">
        <v>6</v>
      </c>
      <c r="B71" s="327">
        <f>_xlfn.STDEV.P(B2:B68)</f>
        <v>0.54459344830194478</v>
      </c>
      <c r="C71" s="318">
        <f t="shared" ref="C71:H71" si="1">_xlfn.STDEV.P(C2:C68)</f>
        <v>0.29931963478414508</v>
      </c>
      <c r="D71" s="319">
        <f t="shared" si="1"/>
        <v>0.33909921818422939</v>
      </c>
      <c r="E71" s="460">
        <f t="shared" si="1"/>
        <v>0.31290857588040444</v>
      </c>
      <c r="F71" s="462">
        <f t="shared" si="1"/>
        <v>0.29745351252599861</v>
      </c>
      <c r="G71" s="320">
        <f t="shared" si="1"/>
        <v>0.31710838587943935</v>
      </c>
      <c r="H71" s="321">
        <f t="shared" si="1"/>
        <v>0.28355185221148049</v>
      </c>
    </row>
    <row r="72" spans="1:8" x14ac:dyDescent="0.25">
      <c r="A72" s="17" t="s">
        <v>53</v>
      </c>
      <c r="B72" s="328">
        <f>COUNT(B2:B68)</f>
        <v>62</v>
      </c>
      <c r="C72" s="157">
        <f t="shared" ref="C72:H72" si="2">COUNT(C2:C68)</f>
        <v>38</v>
      </c>
      <c r="D72" s="329">
        <f t="shared" si="2"/>
        <v>46</v>
      </c>
      <c r="E72" s="461">
        <f t="shared" si="2"/>
        <v>22</v>
      </c>
      <c r="F72" s="313">
        <f t="shared" si="2"/>
        <v>67</v>
      </c>
      <c r="G72" s="262">
        <f t="shared" si="2"/>
        <v>45</v>
      </c>
      <c r="H72" s="205">
        <f t="shared" si="2"/>
        <v>11</v>
      </c>
    </row>
    <row r="73" spans="1:8" s="2" customFormat="1" ht="13.8" x14ac:dyDescent="0.3">
      <c r="A73" s="17" t="s">
        <v>54</v>
      </c>
      <c r="B73" s="328">
        <v>7</v>
      </c>
      <c r="C73" s="157">
        <v>3</v>
      </c>
      <c r="D73" s="329">
        <v>7</v>
      </c>
      <c r="E73" s="461">
        <v>2</v>
      </c>
      <c r="F73" s="313">
        <v>4</v>
      </c>
      <c r="G73" s="262">
        <v>7</v>
      </c>
      <c r="H73" s="205">
        <v>2</v>
      </c>
    </row>
    <row r="74" spans="1:8" x14ac:dyDescent="0.25">
      <c r="A74" s="17" t="s">
        <v>14</v>
      </c>
      <c r="B74" s="317">
        <f t="shared" ref="B74:H74" si="3">MEDIAN(B2:B68)</f>
        <v>2.5549999999999997</v>
      </c>
      <c r="C74" s="318">
        <f t="shared" si="3"/>
        <v>2.2199999999999998</v>
      </c>
      <c r="D74" s="319">
        <f t="shared" si="3"/>
        <v>2.34</v>
      </c>
      <c r="E74" s="460">
        <f t="shared" si="3"/>
        <v>2.355</v>
      </c>
      <c r="F74" s="462">
        <f t="shared" si="3"/>
        <v>2.36</v>
      </c>
      <c r="G74" s="320">
        <f t="shared" si="3"/>
        <v>1.72</v>
      </c>
      <c r="H74" s="321">
        <f t="shared" si="3"/>
        <v>1.77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FD73"/>
  <sheetViews>
    <sheetView topLeftCell="A34" zoomScale="90" zoomScaleNormal="90" workbookViewId="0">
      <selection activeCell="P72" sqref="P72"/>
    </sheetView>
  </sheetViews>
  <sheetFormatPr baseColWidth="10" defaultColWidth="8.88671875" defaultRowHeight="13.8" x14ac:dyDescent="0.25"/>
  <cols>
    <col min="1" max="1" width="19" style="153" bestFit="1" customWidth="1"/>
    <col min="2" max="2" width="11.6640625" style="153" bestFit="1" customWidth="1"/>
    <col min="3" max="10" width="9" style="153" bestFit="1" customWidth="1"/>
    <col min="11" max="11" width="12.44140625" style="153" bestFit="1" customWidth="1"/>
    <col min="12" max="13" width="9" style="153" bestFit="1" customWidth="1"/>
    <col min="14" max="14" width="19.88671875" style="153" bestFit="1" customWidth="1"/>
    <col min="15" max="17" width="9.5546875" style="153" bestFit="1" customWidth="1"/>
    <col min="18" max="18" width="12.5546875" style="153" bestFit="1" customWidth="1"/>
    <col min="19" max="19" width="14.109375" style="153" customWidth="1"/>
    <col min="20" max="21" width="9.5546875" style="153" bestFit="1" customWidth="1"/>
    <col min="22" max="22" width="9.33203125" style="153" bestFit="1" customWidth="1"/>
    <col min="23" max="23" width="15.88671875" style="153" bestFit="1" customWidth="1"/>
    <col min="24" max="28" width="9.33203125" style="153" bestFit="1" customWidth="1"/>
    <col min="29" max="29" width="9" style="153" bestFit="1" customWidth="1"/>
    <col min="30" max="30" width="9.33203125" style="153" bestFit="1" customWidth="1"/>
    <col min="31" max="34" width="9" style="153" bestFit="1" customWidth="1"/>
    <col min="35" max="35" width="7.88671875" style="153" bestFit="1" customWidth="1"/>
    <col min="36" max="36" width="16.6640625" style="153" bestFit="1" customWidth="1"/>
    <col min="37" max="42" width="9" style="153" bestFit="1" customWidth="1"/>
    <col min="43" max="44" width="8.88671875" style="153"/>
    <col min="45" max="50" width="9" style="153" bestFit="1" customWidth="1"/>
    <col min="51" max="16383" width="8.88671875" style="153"/>
    <col min="16384" max="16384" width="9" style="153" bestFit="1" customWidth="1"/>
  </cols>
  <sheetData>
    <row r="2" spans="1:50" x14ac:dyDescent="0.25">
      <c r="A2" s="156" t="s">
        <v>127</v>
      </c>
      <c r="B2" s="331" t="s">
        <v>128</v>
      </c>
      <c r="C2" s="156" t="s">
        <v>129</v>
      </c>
      <c r="D2" s="156"/>
      <c r="E2" s="156" t="s">
        <v>167</v>
      </c>
      <c r="F2" s="156" t="s">
        <v>168</v>
      </c>
      <c r="G2" s="156" t="s">
        <v>169</v>
      </c>
      <c r="H2" s="156" t="s">
        <v>170</v>
      </c>
      <c r="I2" s="156" t="s">
        <v>171</v>
      </c>
      <c r="J2" s="156" t="s">
        <v>172</v>
      </c>
      <c r="K2" s="156" t="s">
        <v>173</v>
      </c>
      <c r="L2" s="156" t="s">
        <v>174</v>
      </c>
      <c r="M2" s="156" t="s">
        <v>175</v>
      </c>
      <c r="N2" s="156" t="s">
        <v>130</v>
      </c>
      <c r="O2" s="156" t="s">
        <v>131</v>
      </c>
      <c r="P2" s="156" t="s">
        <v>132</v>
      </c>
      <c r="R2" s="359" t="s">
        <v>127</v>
      </c>
      <c r="S2" s="360" t="s">
        <v>166</v>
      </c>
      <c r="T2" s="359" t="s">
        <v>129</v>
      </c>
      <c r="U2" s="359"/>
      <c r="V2" s="359" t="s">
        <v>167</v>
      </c>
      <c r="W2" s="359" t="s">
        <v>168</v>
      </c>
      <c r="X2" s="359" t="s">
        <v>169</v>
      </c>
      <c r="Y2" s="359" t="s">
        <v>170</v>
      </c>
      <c r="Z2" s="359" t="s">
        <v>171</v>
      </c>
      <c r="AA2" s="359" t="s">
        <v>172</v>
      </c>
      <c r="AB2" s="359" t="s">
        <v>173</v>
      </c>
      <c r="AC2" s="359" t="s">
        <v>174</v>
      </c>
      <c r="AD2" s="359" t="s">
        <v>175</v>
      </c>
      <c r="AE2" s="359" t="s">
        <v>130</v>
      </c>
      <c r="AF2" s="359" t="s">
        <v>131</v>
      </c>
      <c r="AG2" s="359" t="s">
        <v>132</v>
      </c>
      <c r="AI2" s="156" t="s">
        <v>127</v>
      </c>
      <c r="AJ2" s="331" t="s">
        <v>166</v>
      </c>
      <c r="AK2" s="156" t="s">
        <v>129</v>
      </c>
      <c r="AL2" s="156"/>
      <c r="AM2" s="156" t="s">
        <v>167</v>
      </c>
      <c r="AN2" s="156" t="s">
        <v>168</v>
      </c>
      <c r="AO2" s="156" t="s">
        <v>169</v>
      </c>
      <c r="AP2" s="156" t="s">
        <v>170</v>
      </c>
      <c r="AQ2" s="156" t="s">
        <v>171</v>
      </c>
      <c r="AR2" s="156" t="s">
        <v>172</v>
      </c>
      <c r="AS2" s="156" t="s">
        <v>173</v>
      </c>
      <c r="AT2" s="156" t="s">
        <v>174</v>
      </c>
      <c r="AU2" s="156" t="s">
        <v>175</v>
      </c>
      <c r="AV2" s="156" t="s">
        <v>130</v>
      </c>
      <c r="AW2" s="156" t="s">
        <v>131</v>
      </c>
      <c r="AX2" s="156" t="s">
        <v>132</v>
      </c>
    </row>
    <row r="3" spans="1:50" x14ac:dyDescent="0.25">
      <c r="A3" s="367">
        <v>20</v>
      </c>
      <c r="B3" s="156" t="s">
        <v>133</v>
      </c>
      <c r="C3" s="156"/>
      <c r="D3" s="156"/>
      <c r="E3" s="156">
        <v>187.04</v>
      </c>
      <c r="F3" s="156">
        <v>203.18</v>
      </c>
      <c r="G3" s="156"/>
      <c r="H3" s="156">
        <v>203.88</v>
      </c>
      <c r="I3" s="156"/>
      <c r="J3" s="156"/>
      <c r="K3" s="156">
        <v>206.44</v>
      </c>
      <c r="L3" s="156">
        <v>210.04</v>
      </c>
      <c r="M3" s="156">
        <v>203.96</v>
      </c>
      <c r="N3" s="156">
        <v>217.4</v>
      </c>
      <c r="O3" s="156">
        <v>233.56</v>
      </c>
      <c r="P3" s="156">
        <v>222.268</v>
      </c>
      <c r="R3" s="359">
        <v>20</v>
      </c>
      <c r="S3" s="359" t="s">
        <v>134</v>
      </c>
      <c r="T3" s="359"/>
      <c r="U3" s="359"/>
      <c r="V3" s="361">
        <v>143.584</v>
      </c>
      <c r="W3" s="361"/>
      <c r="X3" s="362">
        <v>159.25200000000001</v>
      </c>
      <c r="Y3" s="362">
        <v>170.69499999999999</v>
      </c>
      <c r="Z3" s="362">
        <v>144.922</v>
      </c>
      <c r="AA3" s="362">
        <v>153.047</v>
      </c>
      <c r="AB3" s="362">
        <v>143.64699999999999</v>
      </c>
      <c r="AC3" s="361"/>
      <c r="AD3" s="362">
        <v>112.98</v>
      </c>
      <c r="AE3" s="359"/>
      <c r="AF3" s="359"/>
      <c r="AG3" s="359"/>
      <c r="AI3" s="367">
        <v>20</v>
      </c>
      <c r="AJ3" s="156" t="s">
        <v>135</v>
      </c>
      <c r="AK3" s="156"/>
      <c r="AL3" s="156"/>
      <c r="AM3" s="333">
        <v>232.005</v>
      </c>
      <c r="AN3" s="333">
        <v>225.21600000000001</v>
      </c>
      <c r="AO3" s="333">
        <v>221.48699999999999</v>
      </c>
      <c r="AP3" s="333">
        <v>220.14500000000001</v>
      </c>
      <c r="AQ3" s="334"/>
      <c r="AR3" s="334"/>
      <c r="AS3" s="333">
        <v>217.19800000000001</v>
      </c>
      <c r="AT3" s="333">
        <v>223.221</v>
      </c>
      <c r="AU3" s="333">
        <v>195.01599999999999</v>
      </c>
      <c r="AV3" s="333">
        <v>213.595</v>
      </c>
      <c r="AW3" s="333">
        <v>216.59299999999999</v>
      </c>
      <c r="AX3" s="333">
        <v>216.85499999999999</v>
      </c>
    </row>
    <row r="4" spans="1:50" x14ac:dyDescent="0.25">
      <c r="A4" s="367">
        <v>20</v>
      </c>
      <c r="B4" s="156" t="s">
        <v>136</v>
      </c>
      <c r="C4" s="156"/>
      <c r="D4" s="156"/>
      <c r="E4" s="156">
        <v>233.31899999999999</v>
      </c>
      <c r="F4" s="156">
        <v>232.78399999999999</v>
      </c>
      <c r="G4" s="156"/>
      <c r="H4" s="156">
        <v>238.09899999999999</v>
      </c>
      <c r="I4" s="156"/>
      <c r="J4" s="156"/>
      <c r="K4" s="156">
        <v>231.87100000000001</v>
      </c>
      <c r="L4" s="156">
        <v>226.02199999999999</v>
      </c>
      <c r="M4" s="156">
        <v>236.70400000000001</v>
      </c>
      <c r="N4" s="156">
        <v>231.364</v>
      </c>
      <c r="O4" s="156">
        <v>236.56200000000001</v>
      </c>
      <c r="P4" s="156">
        <v>233.38399999999999</v>
      </c>
      <c r="R4" s="359">
        <v>20</v>
      </c>
      <c r="S4" s="359" t="s">
        <v>137</v>
      </c>
      <c r="T4" s="359"/>
      <c r="U4" s="359"/>
      <c r="V4" s="362">
        <v>238.517</v>
      </c>
      <c r="W4" s="361"/>
      <c r="X4" s="362">
        <v>217.46100000000001</v>
      </c>
      <c r="Y4" s="362">
        <v>210.089</v>
      </c>
      <c r="Z4" s="362">
        <v>210.749</v>
      </c>
      <c r="AA4" s="362">
        <v>197.00299999999999</v>
      </c>
      <c r="AB4" s="362">
        <v>209.107</v>
      </c>
      <c r="AC4" s="361"/>
      <c r="AD4" s="362">
        <v>181.46700000000001</v>
      </c>
      <c r="AE4" s="359"/>
      <c r="AF4" s="359"/>
      <c r="AG4" s="359"/>
      <c r="AI4" s="367">
        <v>20</v>
      </c>
      <c r="AJ4" s="156" t="s">
        <v>138</v>
      </c>
      <c r="AK4" s="156"/>
      <c r="AL4" s="156"/>
      <c r="AM4" s="335">
        <v>186.095</v>
      </c>
      <c r="AN4" s="335">
        <v>185.74299999999999</v>
      </c>
      <c r="AO4" s="335">
        <v>197.21799999999999</v>
      </c>
      <c r="AP4" s="335">
        <v>200.429</v>
      </c>
      <c r="AQ4" s="336"/>
      <c r="AR4" s="336"/>
      <c r="AS4" s="335">
        <v>204.55500000000001</v>
      </c>
      <c r="AT4" s="335">
        <v>206.422</v>
      </c>
      <c r="AU4" s="335">
        <v>201.56700000000001</v>
      </c>
      <c r="AV4" s="335">
        <v>223.04400000000001</v>
      </c>
      <c r="AW4" s="335">
        <v>229.80199999999999</v>
      </c>
      <c r="AX4" s="335">
        <v>234.029</v>
      </c>
    </row>
    <row r="5" spans="1:50" x14ac:dyDescent="0.25">
      <c r="A5" s="367">
        <v>20</v>
      </c>
      <c r="B5" s="156" t="s">
        <v>139</v>
      </c>
      <c r="C5" s="156"/>
      <c r="D5" s="156"/>
      <c r="E5" s="156">
        <v>190.05</v>
      </c>
      <c r="F5" s="156">
        <v>196.71</v>
      </c>
      <c r="G5" s="156"/>
      <c r="H5" s="156">
        <v>204.786</v>
      </c>
      <c r="I5" s="156"/>
      <c r="J5" s="156"/>
      <c r="K5" s="156">
        <v>211.64699999999999</v>
      </c>
      <c r="L5" s="156">
        <v>208.489</v>
      </c>
      <c r="M5" s="156">
        <v>208.035</v>
      </c>
      <c r="N5" s="156">
        <v>223.69499999999999</v>
      </c>
      <c r="O5" s="156">
        <v>230.00200000000001</v>
      </c>
      <c r="P5" s="156">
        <v>221.99799999999999</v>
      </c>
      <c r="R5" s="359">
        <v>20</v>
      </c>
      <c r="S5" s="359" t="s">
        <v>140</v>
      </c>
      <c r="T5" s="359"/>
      <c r="U5" s="359"/>
      <c r="V5" s="362">
        <v>218.185</v>
      </c>
      <c r="W5" s="361"/>
      <c r="X5" s="362">
        <v>219.27500000000001</v>
      </c>
      <c r="Y5" s="362">
        <v>221.09800000000001</v>
      </c>
      <c r="Z5" s="362">
        <v>208.11799999999999</v>
      </c>
      <c r="AA5" s="362">
        <v>216.548</v>
      </c>
      <c r="AB5" s="362">
        <v>215.58799999999999</v>
      </c>
      <c r="AC5" s="361"/>
      <c r="AD5" s="362">
        <v>205.18700000000001</v>
      </c>
      <c r="AE5" s="359"/>
      <c r="AF5" s="359"/>
      <c r="AG5" s="359"/>
      <c r="AI5" s="367">
        <v>20</v>
      </c>
      <c r="AJ5" s="156" t="s">
        <v>141</v>
      </c>
      <c r="AK5" s="156"/>
      <c r="AL5" s="156"/>
      <c r="AM5" s="337">
        <v>222.821</v>
      </c>
      <c r="AN5" s="337">
        <v>217.422</v>
      </c>
      <c r="AO5" s="337">
        <v>226.75700000000001</v>
      </c>
      <c r="AP5" s="337">
        <v>211.922</v>
      </c>
      <c r="AQ5" s="332"/>
      <c r="AR5" s="332"/>
      <c r="AS5" s="337">
        <v>216.43100000000001</v>
      </c>
      <c r="AT5" s="337">
        <v>217</v>
      </c>
      <c r="AU5" s="337">
        <v>212.51</v>
      </c>
      <c r="AV5" s="337">
        <v>208.88200000000001</v>
      </c>
      <c r="AW5" s="337">
        <v>205.608</v>
      </c>
      <c r="AX5" s="337">
        <v>218.98</v>
      </c>
    </row>
    <row r="6" spans="1:50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</row>
    <row r="7" spans="1:50" x14ac:dyDescent="0.25">
      <c r="A7" s="338"/>
      <c r="B7" s="338" t="s">
        <v>142</v>
      </c>
      <c r="C7" s="338"/>
      <c r="D7" s="338"/>
      <c r="E7" s="339">
        <f>E3/E5</f>
        <v>0.9841620626151012</v>
      </c>
      <c r="F7" s="339">
        <f t="shared" ref="F7:P7" si="0">F3/F5</f>
        <v>1.0328910579024961</v>
      </c>
      <c r="G7" s="339"/>
      <c r="H7" s="339">
        <f t="shared" si="0"/>
        <v>0.99557586944420029</v>
      </c>
      <c r="I7" s="339"/>
      <c r="J7" s="339"/>
      <c r="K7" s="339">
        <f t="shared" si="0"/>
        <v>0.97539771411831966</v>
      </c>
      <c r="L7" s="339">
        <f t="shared" si="0"/>
        <v>1.0074392413988267</v>
      </c>
      <c r="M7" s="339">
        <f t="shared" si="0"/>
        <v>0.98041194991227443</v>
      </c>
      <c r="N7" s="339">
        <f t="shared" si="0"/>
        <v>0.97185900444802076</v>
      </c>
      <c r="O7" s="339">
        <f t="shared" si="0"/>
        <v>1.0154694307006025</v>
      </c>
      <c r="P7" s="339">
        <f t="shared" si="0"/>
        <v>1.0012162271732179</v>
      </c>
      <c r="R7" s="363"/>
      <c r="S7" s="363" t="s">
        <v>142</v>
      </c>
      <c r="T7" s="363"/>
      <c r="U7" s="363"/>
      <c r="V7" s="364">
        <f>V3/V5</f>
        <v>0.65808373627884598</v>
      </c>
      <c r="W7" s="364"/>
      <c r="X7" s="364">
        <f>X3/X5</f>
        <v>0.72626610420704596</v>
      </c>
      <c r="Y7" s="364">
        <f t="shared" ref="Y7" si="1">Y3/Y5</f>
        <v>0.77203321603994601</v>
      </c>
      <c r="Z7" s="364">
        <f>Z3/Z5</f>
        <v>0.69634534254605562</v>
      </c>
      <c r="AA7" s="364">
        <f>AA3/AA5</f>
        <v>0.70675785507139288</v>
      </c>
      <c r="AB7" s="364">
        <f t="shared" ref="AB7:AD7" si="2">AB3/AB5</f>
        <v>0.66630331929420927</v>
      </c>
      <c r="AC7" s="364"/>
      <c r="AD7" s="364">
        <f t="shared" si="2"/>
        <v>0.55061967863461136</v>
      </c>
      <c r="AE7" s="364"/>
      <c r="AF7" s="364"/>
      <c r="AG7" s="364"/>
      <c r="AI7" s="338"/>
      <c r="AJ7" s="338" t="s">
        <v>142</v>
      </c>
      <c r="AK7" s="338"/>
      <c r="AL7" s="338"/>
      <c r="AM7" s="339">
        <f>AM3/AM5</f>
        <v>1.0412169409526033</v>
      </c>
      <c r="AN7" s="339">
        <f t="shared" ref="AN7:AO7" si="3">AN3/AN5</f>
        <v>1.0358473383558242</v>
      </c>
      <c r="AO7" s="339">
        <f t="shared" si="3"/>
        <v>0.97675926211759723</v>
      </c>
      <c r="AP7" s="339">
        <f>AP3/AP5</f>
        <v>1.0388020120610413</v>
      </c>
      <c r="AQ7" s="339"/>
      <c r="AR7" s="339"/>
      <c r="AS7" s="339">
        <f>AS3/AS5</f>
        <v>1.0035438546234134</v>
      </c>
      <c r="AT7" s="339">
        <f t="shared" ref="AT7:AU7" si="4">AT3/AT5</f>
        <v>1.0286682027649769</v>
      </c>
      <c r="AU7" s="339">
        <f t="shared" si="4"/>
        <v>0.91767916803915106</v>
      </c>
      <c r="AV7" s="339">
        <f>AV3/AV5</f>
        <v>1.0225629781407684</v>
      </c>
      <c r="AW7" s="339">
        <f t="shared" ref="AW7:AX7" si="5">AW3/AW5</f>
        <v>1.0534269094587758</v>
      </c>
      <c r="AX7" s="339">
        <f t="shared" si="5"/>
        <v>0.99029591743538226</v>
      </c>
    </row>
    <row r="8" spans="1:50" x14ac:dyDescent="0.25">
      <c r="A8" s="338"/>
      <c r="B8" s="338" t="s">
        <v>143</v>
      </c>
      <c r="C8" s="338"/>
      <c r="D8" s="338"/>
      <c r="E8" s="340">
        <f>(E7/$N7)*100</f>
        <v>101.26593035726084</v>
      </c>
      <c r="F8" s="340">
        <f t="shared" ref="F8:P8" si="6">(F7/$N7)*100</f>
        <v>106.27992879369774</v>
      </c>
      <c r="G8" s="340"/>
      <c r="H8" s="340">
        <f t="shared" si="6"/>
        <v>102.44036067862024</v>
      </c>
      <c r="I8" s="340"/>
      <c r="J8" s="340"/>
      <c r="K8" s="340">
        <f t="shared" si="6"/>
        <v>100.36411759875689</v>
      </c>
      <c r="L8" s="340">
        <f t="shared" si="6"/>
        <v>103.66104926619619</v>
      </c>
      <c r="M8" s="340">
        <f t="shared" si="6"/>
        <v>100.88006031997527</v>
      </c>
      <c r="N8" s="340">
        <f t="shared" si="6"/>
        <v>100</v>
      </c>
      <c r="O8" s="340">
        <f t="shared" si="6"/>
        <v>104.48732028545136</v>
      </c>
      <c r="P8" s="340">
        <f t="shared" si="6"/>
        <v>103.02072858211268</v>
      </c>
      <c r="R8" s="363"/>
      <c r="S8" s="363" t="s">
        <v>143</v>
      </c>
      <c r="T8" s="363"/>
      <c r="U8" s="363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I8" s="338"/>
      <c r="AJ8" s="338" t="s">
        <v>143</v>
      </c>
      <c r="AK8" s="338"/>
      <c r="AL8" s="338"/>
      <c r="AM8" s="340">
        <f>(AM7/$AV7)*100</f>
        <v>101.8242360823342</v>
      </c>
      <c r="AN8" s="340">
        <f t="shared" ref="AN8:AO8" si="7">(AN7/$AV7)*100</f>
        <v>101.29912391696496</v>
      </c>
      <c r="AO8" s="340">
        <f t="shared" si="7"/>
        <v>95.520694861606287</v>
      </c>
      <c r="AP8" s="340">
        <f>(AP7/$AV7)*100</f>
        <v>101.58807176354057</v>
      </c>
      <c r="AQ8" s="340"/>
      <c r="AR8" s="340"/>
      <c r="AS8" s="340">
        <f>(AS7/$AV7)*100</f>
        <v>98.140053578711047</v>
      </c>
      <c r="AT8" s="340">
        <f t="shared" ref="AT8:AU8" si="8">(AT7/$AV7)*100</f>
        <v>100.59705120904232</v>
      </c>
      <c r="AU8" s="340">
        <f t="shared" si="8"/>
        <v>89.743046409491782</v>
      </c>
      <c r="AV8" s="340">
        <f>(AV7/$AV7)*100</f>
        <v>100</v>
      </c>
      <c r="AW8" s="340">
        <f t="shared" ref="AW8:AX8" si="9">(AW7/$AV7)*100</f>
        <v>103.01829148695805</v>
      </c>
      <c r="AX8" s="340">
        <f t="shared" si="9"/>
        <v>96.84449159659053</v>
      </c>
    </row>
    <row r="9" spans="1:50" x14ac:dyDescent="0.25">
      <c r="A9" s="338"/>
      <c r="B9" s="338" t="s">
        <v>144</v>
      </c>
      <c r="C9" s="338"/>
      <c r="D9" s="338"/>
      <c r="E9" s="339">
        <f>E4/E5</f>
        <v>1.2276716653512232</v>
      </c>
      <c r="F9" s="339">
        <f t="shared" ref="F9:P9" si="10">F4/F5</f>
        <v>1.1833867114025722</v>
      </c>
      <c r="G9" s="339"/>
      <c r="H9" s="339">
        <f t="shared" si="10"/>
        <v>1.1626722529860438</v>
      </c>
      <c r="I9" s="339"/>
      <c r="J9" s="339"/>
      <c r="K9" s="339">
        <f t="shared" si="10"/>
        <v>1.0955553350626279</v>
      </c>
      <c r="L9" s="339">
        <f t="shared" si="10"/>
        <v>1.0840955637947325</v>
      </c>
      <c r="M9" s="339">
        <f t="shared" si="10"/>
        <v>1.1378085418319033</v>
      </c>
      <c r="N9" s="339">
        <f t="shared" si="10"/>
        <v>1.0342832875120143</v>
      </c>
      <c r="O9" s="339">
        <f t="shared" si="10"/>
        <v>1.0285214911174685</v>
      </c>
      <c r="P9" s="339">
        <f t="shared" si="10"/>
        <v>1.0512887503491022</v>
      </c>
      <c r="R9" s="363"/>
      <c r="S9" s="363" t="s">
        <v>144</v>
      </c>
      <c r="T9" s="363"/>
      <c r="U9" s="363"/>
      <c r="V9" s="364">
        <f>V4/V5</f>
        <v>1.093186974356624</v>
      </c>
      <c r="W9" s="364"/>
      <c r="X9" s="364">
        <f>X4/X5</f>
        <v>0.99172728309200775</v>
      </c>
      <c r="Y9" s="364">
        <f t="shared" ref="Y9" si="11">Y4/Y5</f>
        <v>0.950207600249663</v>
      </c>
      <c r="Z9" s="364">
        <f>Z4/Z5</f>
        <v>1.0126418666333523</v>
      </c>
      <c r="AA9" s="364">
        <f>AA4/AA5</f>
        <v>0.90974287455898917</v>
      </c>
      <c r="AB9" s="364">
        <f t="shared" ref="AB9:AD9" si="12">AB4/AB5</f>
        <v>0.9699380299460082</v>
      </c>
      <c r="AC9" s="364"/>
      <c r="AD9" s="364">
        <f t="shared" si="12"/>
        <v>0.88439813438473203</v>
      </c>
      <c r="AE9" s="364"/>
      <c r="AF9" s="364"/>
      <c r="AG9" s="364"/>
      <c r="AI9" s="338"/>
      <c r="AJ9" s="338" t="s">
        <v>144</v>
      </c>
      <c r="AK9" s="338"/>
      <c r="AL9" s="338"/>
      <c r="AM9" s="339">
        <f t="shared" ref="AM9:AX9" si="13">AM4/AM5</f>
        <v>0.83517711526292404</v>
      </c>
      <c r="AN9" s="339">
        <f t="shared" si="13"/>
        <v>0.85429717323913867</v>
      </c>
      <c r="AO9" s="339">
        <f t="shared" si="13"/>
        <v>0.8697327976644601</v>
      </c>
      <c r="AP9" s="339">
        <f t="shared" si="13"/>
        <v>0.94576778248600901</v>
      </c>
      <c r="AQ9" s="339"/>
      <c r="AR9" s="339"/>
      <c r="AS9" s="339">
        <f t="shared" si="13"/>
        <v>0.94512800846459144</v>
      </c>
      <c r="AT9" s="339">
        <f t="shared" si="13"/>
        <v>0.95125345622119817</v>
      </c>
      <c r="AU9" s="339">
        <f t="shared" si="13"/>
        <v>0.94850595266105131</v>
      </c>
      <c r="AV9" s="339">
        <f t="shared" si="13"/>
        <v>1.0677990444365719</v>
      </c>
      <c r="AW9" s="339">
        <f t="shared" si="13"/>
        <v>1.1176705186568616</v>
      </c>
      <c r="AX9" s="339">
        <f t="shared" si="13"/>
        <v>1.0687231710658507</v>
      </c>
    </row>
    <row r="10" spans="1:50" x14ac:dyDescent="0.25">
      <c r="A10" s="338"/>
      <c r="B10" s="338" t="s">
        <v>143</v>
      </c>
      <c r="C10" s="338"/>
      <c r="D10" s="338"/>
      <c r="E10" s="340">
        <f>(E9/$N9)*100</f>
        <v>118.69781520925547</v>
      </c>
      <c r="F10" s="340">
        <f t="shared" ref="F10:P10" si="14">(F9/$N9)*100</f>
        <v>114.41611072042252</v>
      </c>
      <c r="G10" s="340"/>
      <c r="H10" s="340">
        <f t="shared" si="14"/>
        <v>112.41332689256456</v>
      </c>
      <c r="I10" s="340"/>
      <c r="J10" s="340"/>
      <c r="K10" s="340">
        <f t="shared" si="14"/>
        <v>105.92410689512393</v>
      </c>
      <c r="L10" s="340">
        <f t="shared" si="14"/>
        <v>104.81611536067091</v>
      </c>
      <c r="M10" s="340">
        <f t="shared" si="14"/>
        <v>110.00937127862915</v>
      </c>
      <c r="N10" s="340">
        <f t="shared" si="14"/>
        <v>100</v>
      </c>
      <c r="O10" s="340">
        <f t="shared" si="14"/>
        <v>99.442918931001401</v>
      </c>
      <c r="P10" s="340">
        <f t="shared" si="14"/>
        <v>101.64417844147853</v>
      </c>
      <c r="R10" s="363"/>
      <c r="S10" s="363" t="s">
        <v>143</v>
      </c>
      <c r="T10" s="363"/>
      <c r="U10" s="363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I10" s="338"/>
      <c r="AJ10" s="338" t="s">
        <v>143</v>
      </c>
      <c r="AK10" s="338"/>
      <c r="AL10" s="338"/>
      <c r="AM10" s="340">
        <f>(AM9/$AV9)*100</f>
        <v>78.21482137620832</v>
      </c>
      <c r="AN10" s="340">
        <f t="shared" ref="AN10:AO10" si="15">(AN9/$AV9)*100</f>
        <v>80.00542589827019</v>
      </c>
      <c r="AO10" s="340">
        <f t="shared" si="15"/>
        <v>81.45098108074987</v>
      </c>
      <c r="AP10" s="340">
        <f>(AP9/$AV9)*100</f>
        <v>88.571701521333239</v>
      </c>
      <c r="AQ10" s="340"/>
      <c r="AR10" s="340"/>
      <c r="AS10" s="340">
        <f>(AS9/$AV9)*100</f>
        <v>88.511786313059659</v>
      </c>
      <c r="AT10" s="340">
        <f t="shared" ref="AT10:AU10" si="16">(AT9/$AV9)*100</f>
        <v>89.085438049172495</v>
      </c>
      <c r="AU10" s="340">
        <f t="shared" si="16"/>
        <v>88.828132746787944</v>
      </c>
      <c r="AV10" s="340">
        <f>(AV9/$AV9)*100</f>
        <v>100</v>
      </c>
      <c r="AW10" s="340">
        <f t="shared" ref="AW10:AX10" si="17">(AW9/$AV9)*100</f>
        <v>104.67049249389473</v>
      </c>
      <c r="AX10" s="340">
        <f t="shared" si="17"/>
        <v>100.08654499496825</v>
      </c>
    </row>
    <row r="11" spans="1:50" x14ac:dyDescent="0.25">
      <c r="A11" s="338"/>
      <c r="B11" s="338"/>
      <c r="C11" s="338"/>
      <c r="D11" s="338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R11" s="363"/>
      <c r="S11" s="363"/>
      <c r="T11" s="363"/>
      <c r="U11" s="363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I11" s="338"/>
      <c r="AJ11" s="338"/>
      <c r="AK11" s="338"/>
      <c r="AL11" s="338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</row>
    <row r="12" spans="1:50" x14ac:dyDescent="0.25">
      <c r="A12" s="338"/>
      <c r="B12" s="338" t="s">
        <v>139</v>
      </c>
      <c r="C12" s="338"/>
      <c r="D12" s="338"/>
      <c r="E12" s="340">
        <f>E5/$N5</f>
        <v>0.84959431368604577</v>
      </c>
      <c r="F12" s="340">
        <f>F5/$N5</f>
        <v>0.87936699523905326</v>
      </c>
      <c r="G12" s="340"/>
      <c r="H12" s="340">
        <f>H5/$N5</f>
        <v>0.91546972440152885</v>
      </c>
      <c r="I12" s="340"/>
      <c r="J12" s="340"/>
      <c r="K12" s="340">
        <f>K5/$N5</f>
        <v>0.94614095084825323</v>
      </c>
      <c r="L12" s="340">
        <f>L5/$N5</f>
        <v>0.93202351415990525</v>
      </c>
      <c r="M12" s="340">
        <f>M5/$N5</f>
        <v>0.9299939649969825</v>
      </c>
      <c r="N12" s="340">
        <v>1</v>
      </c>
      <c r="O12" s="340">
        <f>O5/$N5</f>
        <v>1.028194640023246</v>
      </c>
      <c r="P12" s="340">
        <f>P5/$N5</f>
        <v>0.99241377768837036</v>
      </c>
      <c r="R12" s="363"/>
      <c r="S12" s="363"/>
      <c r="T12" s="363"/>
      <c r="U12" s="363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I12" s="338"/>
      <c r="AJ12" s="338" t="s">
        <v>139</v>
      </c>
      <c r="AK12" s="338"/>
      <c r="AL12" s="338"/>
      <c r="AM12" s="340">
        <f>AM5/$N5</f>
        <v>0.99609289434274351</v>
      </c>
      <c r="AN12" s="340">
        <f>AN5/$N5</f>
        <v>0.971957352645343</v>
      </c>
      <c r="AO12" s="340">
        <f>AO5/$N5</f>
        <v>1.0136882809182146</v>
      </c>
      <c r="AP12" s="340">
        <f>AP5/$N5</f>
        <v>0.94737030331478134</v>
      </c>
      <c r="AQ12" s="340"/>
      <c r="AR12" s="340"/>
      <c r="AS12" s="340">
        <f>AS5/$N5</f>
        <v>0.96752721339323644</v>
      </c>
      <c r="AT12" s="340">
        <f>AT5/$N5</f>
        <v>0.97007085540579807</v>
      </c>
      <c r="AU12" s="340">
        <f>AU5/$N5</f>
        <v>0.9499988824068486</v>
      </c>
      <c r="AV12" s="340">
        <v>1</v>
      </c>
      <c r="AW12" s="340">
        <f>AW5/$N5</f>
        <v>0.91914437068329646</v>
      </c>
      <c r="AX12" s="340">
        <f>AX5/$N5</f>
        <v>0.97892219316480023</v>
      </c>
    </row>
    <row r="13" spans="1:50" x14ac:dyDescent="0.25">
      <c r="A13" s="338"/>
      <c r="B13" s="156" t="s">
        <v>145</v>
      </c>
      <c r="C13" s="338"/>
      <c r="D13" s="338"/>
      <c r="E13" s="340">
        <f>E3/E12</f>
        <v>220.15213259668508</v>
      </c>
      <c r="F13" s="340">
        <f>F3/F12</f>
        <v>231.05256519749884</v>
      </c>
      <c r="G13" s="340"/>
      <c r="H13" s="340">
        <f>H3/H12</f>
        <v>222.70534411532037</v>
      </c>
      <c r="I13" s="340"/>
      <c r="J13" s="340"/>
      <c r="K13" s="340">
        <f t="shared" ref="K13:P13" si="18">K3/K12</f>
        <v>218.19159165969751</v>
      </c>
      <c r="L13" s="340">
        <f t="shared" si="18"/>
        <v>225.35912110471054</v>
      </c>
      <c r="M13" s="340">
        <f t="shared" si="18"/>
        <v>219.31325113562622</v>
      </c>
      <c r="N13" s="340">
        <f t="shared" si="18"/>
        <v>217.4</v>
      </c>
      <c r="O13" s="340">
        <f t="shared" si="18"/>
        <v>227.15543430057127</v>
      </c>
      <c r="P13" s="340">
        <f t="shared" si="18"/>
        <v>223.96706393751293</v>
      </c>
      <c r="R13" s="363"/>
      <c r="S13" s="363"/>
      <c r="T13" s="363"/>
      <c r="U13" s="363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I13" s="338"/>
      <c r="AJ13" s="156" t="s">
        <v>145</v>
      </c>
      <c r="AK13" s="338"/>
      <c r="AL13" s="338"/>
      <c r="AM13" s="340">
        <f>AM3/AM12</f>
        <v>232.91502360639257</v>
      </c>
      <c r="AN13" s="340">
        <f>AN3/AN12</f>
        <v>231.71387035350608</v>
      </c>
      <c r="AO13" s="340">
        <f>AO3/AO12</f>
        <v>218.49616313939589</v>
      </c>
      <c r="AP13" s="340">
        <f>AP3/AP12</f>
        <v>232.37481608799465</v>
      </c>
      <c r="AQ13" s="340"/>
      <c r="AR13" s="340"/>
      <c r="AS13" s="340">
        <f t="shared" ref="AS13:AX13" si="19">AS3/AS12</f>
        <v>224.48774255998447</v>
      </c>
      <c r="AT13" s="340">
        <f t="shared" si="19"/>
        <v>230.10793361751152</v>
      </c>
      <c r="AU13" s="340">
        <f t="shared" si="19"/>
        <v>205.2802414945179</v>
      </c>
      <c r="AV13" s="340">
        <f t="shared" si="19"/>
        <v>213.595</v>
      </c>
      <c r="AW13" s="340">
        <f t="shared" si="19"/>
        <v>235.64633251138088</v>
      </c>
      <c r="AX13" s="340">
        <f t="shared" si="19"/>
        <v>221.52424525070782</v>
      </c>
    </row>
    <row r="14" spans="1:50" x14ac:dyDescent="0.25">
      <c r="A14" s="341"/>
      <c r="B14" s="342" t="s">
        <v>146</v>
      </c>
      <c r="C14" s="341"/>
      <c r="D14" s="341"/>
      <c r="E14" s="343">
        <f>($N13/E13)*100</f>
        <v>98.749895100163783</v>
      </c>
      <c r="F14" s="343">
        <f>($N13/F13)*100</f>
        <v>94.091143205517369</v>
      </c>
      <c r="G14" s="343"/>
      <c r="H14" s="343">
        <f>($N13/H13)*100</f>
        <v>97.617774222529135</v>
      </c>
      <c r="I14" s="343"/>
      <c r="J14" s="343"/>
      <c r="K14" s="343">
        <f>($N13/K13)*100</f>
        <v>99.637203407484137</v>
      </c>
      <c r="L14" s="343">
        <f>($N13/L13)*100</f>
        <v>96.468249846868886</v>
      </c>
      <c r="M14" s="343">
        <f>($N13/M13)*100</f>
        <v>99.127617175104916</v>
      </c>
      <c r="N14" s="343">
        <f>(N13/$N13)*100</f>
        <v>100</v>
      </c>
      <c r="O14" s="343">
        <f>($N13/O13)*100</f>
        <v>95.705392507729798</v>
      </c>
      <c r="P14" s="343">
        <f>($N13/P13)*100</f>
        <v>97.067843895410817</v>
      </c>
      <c r="R14" s="363"/>
      <c r="S14" s="363"/>
      <c r="T14" s="363"/>
      <c r="U14" s="363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I14" s="341"/>
      <c r="AJ14" s="342" t="s">
        <v>146</v>
      </c>
      <c r="AK14" s="341"/>
      <c r="AL14" s="341"/>
      <c r="AM14" s="343">
        <f>($AV13/AM13)*100</f>
        <v>91.705119185853022</v>
      </c>
      <c r="AN14" s="343">
        <f>($AV13/AN13)*100</f>
        <v>92.180498161001907</v>
      </c>
      <c r="AO14" s="343">
        <f>($AV13/AO13)*100</f>
        <v>97.756865352244631</v>
      </c>
      <c r="AP14" s="343">
        <f>($AV13/AP13)*100</f>
        <v>91.918308358818365</v>
      </c>
      <c r="AQ14" s="343"/>
      <c r="AR14" s="343"/>
      <c r="AS14" s="343">
        <f t="shared" ref="AS14:AX14" si="20">($AV13/AS13)*100</f>
        <v>95.147733931586998</v>
      </c>
      <c r="AT14" s="343">
        <f t="shared" si="20"/>
        <v>92.823831252615761</v>
      </c>
      <c r="AU14" s="343">
        <f t="shared" si="20"/>
        <v>104.05044267531424</v>
      </c>
      <c r="AV14" s="343">
        <f t="shared" si="20"/>
        <v>100</v>
      </c>
      <c r="AW14" s="343">
        <f t="shared" si="20"/>
        <v>90.642191509466457</v>
      </c>
      <c r="AX14" s="343">
        <f t="shared" si="20"/>
        <v>96.420597103610945</v>
      </c>
    </row>
    <row r="15" spans="1:50" x14ac:dyDescent="0.25">
      <c r="A15" s="338"/>
      <c r="B15" s="156" t="s">
        <v>147</v>
      </c>
      <c r="C15" s="338"/>
      <c r="D15" s="338"/>
      <c r="E15" s="340">
        <f>E4*E12</f>
        <v>198.2264956749145</v>
      </c>
      <c r="F15" s="340">
        <f>F4*F12</f>
        <v>204.70256661972778</v>
      </c>
      <c r="G15" s="340"/>
      <c r="H15" s="340">
        <f>H4*H12</f>
        <v>217.97242591027961</v>
      </c>
      <c r="I15" s="340"/>
      <c r="J15" s="340"/>
      <c r="K15" s="340">
        <f t="shared" ref="K15:P15" si="21">K4*K12</f>
        <v>219.38264841413533</v>
      </c>
      <c r="L15" s="340">
        <f t="shared" si="21"/>
        <v>210.65781871745008</v>
      </c>
      <c r="M15" s="340">
        <f t="shared" si="21"/>
        <v>220.13329149064575</v>
      </c>
      <c r="N15" s="340">
        <f t="shared" si="21"/>
        <v>231.364</v>
      </c>
      <c r="O15" s="340">
        <f t="shared" si="21"/>
        <v>243.23178043317913</v>
      </c>
      <c r="P15" s="340">
        <f t="shared" si="21"/>
        <v>231.61349709202261</v>
      </c>
      <c r="R15" s="363"/>
      <c r="S15" s="363"/>
      <c r="T15" s="363"/>
      <c r="U15" s="363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I15" s="338"/>
      <c r="AJ15" s="156" t="s">
        <v>147</v>
      </c>
      <c r="AK15" s="338"/>
      <c r="AL15" s="338"/>
      <c r="AM15" s="340">
        <f>AM4*AM12</f>
        <v>185.36790717271285</v>
      </c>
      <c r="AN15" s="340">
        <f>AN4*AN12</f>
        <v>180.53427455240393</v>
      </c>
      <c r="AO15" s="340">
        <f>AO4*AO12</f>
        <v>199.91757538612845</v>
      </c>
      <c r="AP15" s="340">
        <f>AP4*AP12</f>
        <v>189.88048252307831</v>
      </c>
      <c r="AQ15" s="340"/>
      <c r="AR15" s="340"/>
      <c r="AS15" s="340">
        <f t="shared" ref="AS15:AX15" si="22">AS4*AS12</f>
        <v>197.9125291356535</v>
      </c>
      <c r="AT15" s="340">
        <f t="shared" si="22"/>
        <v>200.24396611457564</v>
      </c>
      <c r="AU15" s="340">
        <f t="shared" si="22"/>
        <v>191.48842473010126</v>
      </c>
      <c r="AV15" s="340">
        <f t="shared" si="22"/>
        <v>223.04400000000001</v>
      </c>
      <c r="AW15" s="340">
        <f t="shared" si="22"/>
        <v>211.22121467176288</v>
      </c>
      <c r="AX15" s="340">
        <f t="shared" si="22"/>
        <v>229.09618194416504</v>
      </c>
    </row>
    <row r="16" spans="1:50" x14ac:dyDescent="0.25">
      <c r="A16" s="341"/>
      <c r="B16" s="342" t="s">
        <v>148</v>
      </c>
      <c r="C16" s="341"/>
      <c r="D16" s="341"/>
      <c r="E16" s="343">
        <f>($N15/E15)*100</f>
        <v>116.71699043675272</v>
      </c>
      <c r="F16" s="343">
        <f>($N15/F15)*100</f>
        <v>113.02447439743179</v>
      </c>
      <c r="G16" s="343"/>
      <c r="H16" s="343">
        <f>($N15/H15)*100</f>
        <v>106.14370099052462</v>
      </c>
      <c r="I16" s="343"/>
      <c r="J16" s="343"/>
      <c r="K16" s="343">
        <f>($N15/K15)*100</f>
        <v>105.46139435934198</v>
      </c>
      <c r="L16" s="343">
        <f>($N15/L15)*100</f>
        <v>109.82929634827492</v>
      </c>
      <c r="M16" s="343">
        <f>($N15/M15)*100</f>
        <v>105.10177648882859</v>
      </c>
      <c r="N16" s="343">
        <f>(N15/$N15)*100</f>
        <v>100</v>
      </c>
      <c r="O16" s="343">
        <f>($N15/O15)*100</f>
        <v>95.120793667651725</v>
      </c>
      <c r="P16" s="343">
        <f>($N15/P15)*100</f>
        <v>99.89227869051021</v>
      </c>
      <c r="R16" s="363"/>
      <c r="S16" s="363"/>
      <c r="T16" s="363"/>
      <c r="U16" s="363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I16" s="341"/>
      <c r="AJ16" s="342" t="s">
        <v>148</v>
      </c>
      <c r="AK16" s="341"/>
      <c r="AL16" s="341"/>
      <c r="AM16" s="343">
        <f>($AV15/AM15)*100</f>
        <v>120.32503544002535</v>
      </c>
      <c r="AN16" s="343">
        <f>($AV15/AN15)*100</f>
        <v>123.54662323981962</v>
      </c>
      <c r="AO16" s="343">
        <f>($AV15/AO15)*100</f>
        <v>111.56797973825179</v>
      </c>
      <c r="AP16" s="343">
        <f>($AV15/AP15)*100</f>
        <v>117.46546935011656</v>
      </c>
      <c r="AQ16" s="343"/>
      <c r="AR16" s="343"/>
      <c r="AS16" s="343">
        <f t="shared" ref="AS16:AX16" si="23">($AV15/AS15)*100</f>
        <v>112.69827179416258</v>
      </c>
      <c r="AT16" s="343">
        <f t="shared" si="23"/>
        <v>111.38612779592003</v>
      </c>
      <c r="AU16" s="343">
        <f t="shared" si="23"/>
        <v>116.47910327445415</v>
      </c>
      <c r="AV16" s="343">
        <f t="shared" si="23"/>
        <v>100</v>
      </c>
      <c r="AW16" s="343">
        <f t="shared" si="23"/>
        <v>105.59734747601452</v>
      </c>
      <c r="AX16" s="343">
        <f t="shared" si="23"/>
        <v>97.358235352154381</v>
      </c>
    </row>
    <row r="17" spans="1:51" x14ac:dyDescent="0.25"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</row>
    <row r="18" spans="1:51" x14ac:dyDescent="0.25">
      <c r="A18" s="156"/>
      <c r="B18" s="156"/>
      <c r="C18" s="156"/>
      <c r="D18" s="156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AD18" s="344"/>
      <c r="AE18" s="344"/>
      <c r="AH18" s="344"/>
    </row>
    <row r="19" spans="1:51" x14ac:dyDescent="0.25">
      <c r="A19" s="346" t="s">
        <v>149</v>
      </c>
      <c r="B19" s="346"/>
      <c r="C19" s="346"/>
      <c r="D19" s="346"/>
      <c r="F19" s="347" t="s">
        <v>150</v>
      </c>
      <c r="G19" s="347"/>
      <c r="H19" s="347"/>
      <c r="J19" s="348" t="s">
        <v>151</v>
      </c>
      <c r="K19" s="348"/>
      <c r="L19" s="348"/>
      <c r="N19" s="389" t="s">
        <v>152</v>
      </c>
      <c r="O19" s="389"/>
      <c r="P19" s="389"/>
      <c r="Q19" s="389"/>
      <c r="R19" s="330"/>
      <c r="S19" s="390" t="s">
        <v>153</v>
      </c>
      <c r="T19" s="390"/>
      <c r="U19" s="390"/>
      <c r="V19" s="330"/>
      <c r="W19" s="396" t="s">
        <v>154</v>
      </c>
      <c r="X19" s="396"/>
      <c r="Y19" s="396"/>
      <c r="AA19" s="346" t="s">
        <v>155</v>
      </c>
      <c r="AB19" s="346"/>
      <c r="AC19" s="346"/>
      <c r="AD19" s="346"/>
      <c r="AE19" s="344"/>
      <c r="AF19" s="347" t="s">
        <v>156</v>
      </c>
      <c r="AG19" s="347"/>
      <c r="AH19" s="347"/>
      <c r="AJ19" s="348" t="s">
        <v>157</v>
      </c>
      <c r="AK19" s="348"/>
      <c r="AL19" s="348"/>
      <c r="AQ19" s="344"/>
      <c r="AR19" s="344"/>
      <c r="AT19" s="344"/>
      <c r="AU19" s="344"/>
    </row>
    <row r="20" spans="1:51" x14ac:dyDescent="0.25">
      <c r="A20" s="346" t="s">
        <v>158</v>
      </c>
      <c r="B20" s="349" t="s">
        <v>159</v>
      </c>
      <c r="C20" s="349" t="s">
        <v>160</v>
      </c>
      <c r="D20" s="349" t="s">
        <v>161</v>
      </c>
      <c r="F20" s="338" t="s">
        <v>159</v>
      </c>
      <c r="G20" s="338" t="s">
        <v>160</v>
      </c>
      <c r="H20" s="350" t="s">
        <v>161</v>
      </c>
      <c r="I20" s="344"/>
      <c r="J20" s="351" t="s">
        <v>159</v>
      </c>
      <c r="K20" s="351" t="s">
        <v>160</v>
      </c>
      <c r="L20" s="352" t="s">
        <v>161</v>
      </c>
      <c r="N20" s="389" t="s">
        <v>158</v>
      </c>
      <c r="O20" s="391" t="s">
        <v>159</v>
      </c>
      <c r="P20" s="391" t="s">
        <v>160</v>
      </c>
      <c r="Q20" s="391" t="s">
        <v>161</v>
      </c>
      <c r="R20" s="330"/>
      <c r="S20" s="363" t="s">
        <v>159</v>
      </c>
      <c r="T20" s="363" t="s">
        <v>160</v>
      </c>
      <c r="U20" s="392" t="s">
        <v>161</v>
      </c>
      <c r="V20" s="330"/>
      <c r="W20" s="397" t="s">
        <v>159</v>
      </c>
      <c r="X20" s="397" t="s">
        <v>160</v>
      </c>
      <c r="Y20" s="398" t="s">
        <v>161</v>
      </c>
      <c r="AA20" s="346" t="s">
        <v>158</v>
      </c>
      <c r="AB20" s="349" t="s">
        <v>159</v>
      </c>
      <c r="AC20" s="349" t="s">
        <v>160</v>
      </c>
      <c r="AD20" s="349" t="s">
        <v>161</v>
      </c>
      <c r="AE20" s="344"/>
      <c r="AF20" s="338" t="s">
        <v>159</v>
      </c>
      <c r="AG20" s="338" t="s">
        <v>160</v>
      </c>
      <c r="AH20" s="350" t="s">
        <v>161</v>
      </c>
      <c r="AJ20" s="351" t="s">
        <v>159</v>
      </c>
      <c r="AK20" s="351" t="s">
        <v>160</v>
      </c>
      <c r="AL20" s="352" t="s">
        <v>161</v>
      </c>
      <c r="AN20" s="344"/>
      <c r="AO20" s="344"/>
      <c r="AP20" s="344"/>
      <c r="AQ20" s="344"/>
      <c r="AR20" s="344"/>
      <c r="AT20" s="344"/>
      <c r="AU20" s="344"/>
    </row>
    <row r="21" spans="1:51" x14ac:dyDescent="0.25">
      <c r="A21" s="349" t="s">
        <v>167</v>
      </c>
      <c r="B21" s="333">
        <v>187040</v>
      </c>
      <c r="C21" s="333">
        <v>185</v>
      </c>
      <c r="D21" s="333">
        <v>191</v>
      </c>
      <c r="F21" s="335">
        <v>233319</v>
      </c>
      <c r="G21" s="335">
        <v>228040</v>
      </c>
      <c r="H21" s="335">
        <v>238</v>
      </c>
      <c r="I21" s="344"/>
      <c r="J21" s="337">
        <v>190050</v>
      </c>
      <c r="K21" s="337">
        <v>186200</v>
      </c>
      <c r="L21" s="348">
        <v>197</v>
      </c>
      <c r="N21" s="393" t="s">
        <v>167</v>
      </c>
      <c r="O21" s="394">
        <v>143584</v>
      </c>
      <c r="P21" s="394">
        <v>132200</v>
      </c>
      <c r="Q21" s="389">
        <v>167</v>
      </c>
      <c r="R21" s="330"/>
      <c r="S21" s="395">
        <v>238517</v>
      </c>
      <c r="T21" s="395">
        <v>236120</v>
      </c>
      <c r="U21" s="390">
        <v>241</v>
      </c>
      <c r="V21" s="366"/>
      <c r="W21" s="399">
        <v>218185</v>
      </c>
      <c r="X21" s="399">
        <v>213375</v>
      </c>
      <c r="Y21" s="399">
        <v>222146</v>
      </c>
      <c r="AA21" s="349" t="s">
        <v>167</v>
      </c>
      <c r="AB21" s="333">
        <v>232005</v>
      </c>
      <c r="AC21" s="346">
        <v>229</v>
      </c>
      <c r="AD21" s="346">
        <v>235</v>
      </c>
      <c r="AE21" s="344"/>
      <c r="AF21" s="335">
        <v>186095</v>
      </c>
      <c r="AG21" s="335">
        <v>182840</v>
      </c>
      <c r="AH21" s="335">
        <v>193</v>
      </c>
      <c r="AI21" s="344"/>
      <c r="AJ21" s="337">
        <v>222821</v>
      </c>
      <c r="AK21" s="348">
        <v>221</v>
      </c>
      <c r="AL21" s="348">
        <v>226</v>
      </c>
      <c r="AM21" s="344"/>
      <c r="AN21" s="344"/>
      <c r="AO21" s="344"/>
      <c r="AP21" s="344"/>
      <c r="AQ21" s="344"/>
      <c r="AR21" s="332"/>
      <c r="AS21" s="332"/>
      <c r="AT21" s="344"/>
      <c r="AU21" s="344"/>
      <c r="AV21" s="344"/>
      <c r="AW21" s="344"/>
      <c r="AX21" s="344"/>
      <c r="AY21" s="344"/>
    </row>
    <row r="22" spans="1:51" x14ac:dyDescent="0.25">
      <c r="A22" s="349" t="s">
        <v>168</v>
      </c>
      <c r="B22" s="333">
        <v>203180</v>
      </c>
      <c r="C22" s="333">
        <v>189</v>
      </c>
      <c r="D22" s="333">
        <v>210</v>
      </c>
      <c r="F22" s="335">
        <v>232784</v>
      </c>
      <c r="G22" s="335">
        <v>229000</v>
      </c>
      <c r="H22" s="335">
        <v>235400</v>
      </c>
      <c r="I22" s="344"/>
      <c r="J22" s="337">
        <v>196710</v>
      </c>
      <c r="K22" s="337">
        <v>188800</v>
      </c>
      <c r="L22" s="348">
        <v>201</v>
      </c>
      <c r="N22" s="393" t="s">
        <v>169</v>
      </c>
      <c r="O22" s="394">
        <v>159252</v>
      </c>
      <c r="P22" s="394">
        <v>146760</v>
      </c>
      <c r="Q22" s="394">
        <v>178280</v>
      </c>
      <c r="R22" s="330"/>
      <c r="S22" s="395">
        <v>217461</v>
      </c>
      <c r="T22" s="395">
        <v>214100</v>
      </c>
      <c r="U22" s="395">
        <v>221900</v>
      </c>
      <c r="V22" s="366"/>
      <c r="W22" s="399">
        <v>219275</v>
      </c>
      <c r="X22" s="399">
        <v>216200</v>
      </c>
      <c r="Y22" s="399">
        <v>221000</v>
      </c>
      <c r="Z22" s="156"/>
      <c r="AA22" s="349" t="s">
        <v>168</v>
      </c>
      <c r="AB22" s="333">
        <v>225216</v>
      </c>
      <c r="AC22" s="333">
        <v>222680</v>
      </c>
      <c r="AD22" s="333">
        <v>227340</v>
      </c>
      <c r="AE22" s="344"/>
      <c r="AF22" s="335">
        <v>185743</v>
      </c>
      <c r="AG22" s="335">
        <v>179280</v>
      </c>
      <c r="AH22" s="335">
        <v>195</v>
      </c>
      <c r="AI22" s="344"/>
      <c r="AJ22" s="337">
        <v>217422</v>
      </c>
      <c r="AK22" s="337">
        <v>212490</v>
      </c>
      <c r="AL22" s="337">
        <v>223408</v>
      </c>
      <c r="AM22" s="344"/>
      <c r="AN22" s="344"/>
      <c r="AO22" s="344"/>
      <c r="AP22" s="344"/>
      <c r="AQ22" s="344"/>
      <c r="AR22" s="344"/>
      <c r="AS22" s="344"/>
      <c r="AT22" s="344"/>
      <c r="AU22" s="344"/>
    </row>
    <row r="23" spans="1:51" x14ac:dyDescent="0.25">
      <c r="A23" s="349" t="s">
        <v>170</v>
      </c>
      <c r="B23" s="333">
        <v>203880</v>
      </c>
      <c r="C23" s="333">
        <v>193</v>
      </c>
      <c r="D23" s="333">
        <v>217</v>
      </c>
      <c r="F23" s="335">
        <v>238099</v>
      </c>
      <c r="G23" s="335">
        <v>235000</v>
      </c>
      <c r="H23" s="335">
        <v>240000</v>
      </c>
      <c r="I23" s="344"/>
      <c r="J23" s="337">
        <v>204786</v>
      </c>
      <c r="K23" s="337">
        <v>202000</v>
      </c>
      <c r="L23" s="348">
        <v>212</v>
      </c>
      <c r="N23" s="393" t="s">
        <v>170</v>
      </c>
      <c r="O23" s="394">
        <v>170695</v>
      </c>
      <c r="P23" s="394">
        <v>167660</v>
      </c>
      <c r="Q23" s="394">
        <v>177000</v>
      </c>
      <c r="R23" s="330"/>
      <c r="S23" s="395">
        <v>210089</v>
      </c>
      <c r="T23" s="395">
        <v>203000</v>
      </c>
      <c r="U23" s="395">
        <v>215000</v>
      </c>
      <c r="V23" s="366"/>
      <c r="W23" s="399">
        <v>221098</v>
      </c>
      <c r="X23" s="399">
        <v>219000</v>
      </c>
      <c r="Y23" s="399">
        <v>225000</v>
      </c>
      <c r="Z23" s="156"/>
      <c r="AA23" s="349" t="s">
        <v>169</v>
      </c>
      <c r="AB23" s="333">
        <v>221487</v>
      </c>
      <c r="AC23" s="333">
        <v>219000</v>
      </c>
      <c r="AD23" s="333">
        <v>225000</v>
      </c>
      <c r="AE23" s="344"/>
      <c r="AF23" s="335">
        <v>197218</v>
      </c>
      <c r="AG23" s="335">
        <v>195020</v>
      </c>
      <c r="AH23" s="335">
        <v>199</v>
      </c>
      <c r="AI23" s="344"/>
      <c r="AJ23" s="337">
        <v>226757</v>
      </c>
      <c r="AK23" s="337">
        <v>217960</v>
      </c>
      <c r="AL23" s="337">
        <v>233880</v>
      </c>
      <c r="AM23" s="344"/>
      <c r="AN23" s="344"/>
      <c r="AO23" s="344"/>
      <c r="AP23" s="344"/>
      <c r="AQ23" s="344"/>
      <c r="AR23" s="344"/>
      <c r="AS23" s="344"/>
      <c r="AT23" s="344"/>
      <c r="AU23" s="344"/>
    </row>
    <row r="24" spans="1:51" x14ac:dyDescent="0.25">
      <c r="A24" s="349" t="s">
        <v>173</v>
      </c>
      <c r="B24" s="333">
        <v>206440</v>
      </c>
      <c r="C24" s="333">
        <v>199</v>
      </c>
      <c r="D24" s="333">
        <v>213</v>
      </c>
      <c r="F24" s="335">
        <v>231871</v>
      </c>
      <c r="G24" s="335">
        <v>230000</v>
      </c>
      <c r="H24" s="335">
        <v>234580</v>
      </c>
      <c r="I24" s="344"/>
      <c r="J24" s="337">
        <v>211647</v>
      </c>
      <c r="K24" s="337">
        <v>205000</v>
      </c>
      <c r="L24" s="348">
        <v>217</v>
      </c>
      <c r="N24" s="393" t="s">
        <v>171</v>
      </c>
      <c r="O24" s="394">
        <v>144922</v>
      </c>
      <c r="P24" s="394">
        <v>115000</v>
      </c>
      <c r="Q24" s="394">
        <v>159000</v>
      </c>
      <c r="R24" s="330"/>
      <c r="S24" s="395">
        <v>210749</v>
      </c>
      <c r="T24" s="395">
        <v>198120</v>
      </c>
      <c r="U24" s="395">
        <v>215360</v>
      </c>
      <c r="V24" s="366"/>
      <c r="W24" s="399">
        <v>208118</v>
      </c>
      <c r="X24" s="399">
        <v>200000</v>
      </c>
      <c r="Y24" s="399">
        <v>217000</v>
      </c>
      <c r="Z24" s="156"/>
      <c r="AA24" s="349" t="s">
        <v>170</v>
      </c>
      <c r="AB24" s="333">
        <v>220145</v>
      </c>
      <c r="AC24" s="333">
        <v>215880</v>
      </c>
      <c r="AD24" s="333">
        <v>225000</v>
      </c>
      <c r="AE24" s="344"/>
      <c r="AF24" s="335">
        <v>200429</v>
      </c>
      <c r="AG24" s="335">
        <v>199000</v>
      </c>
      <c r="AH24" s="335">
        <v>203</v>
      </c>
      <c r="AI24" s="344"/>
      <c r="AJ24" s="337">
        <v>211922</v>
      </c>
      <c r="AK24" s="337">
        <v>197000</v>
      </c>
      <c r="AL24" s="337">
        <v>223000</v>
      </c>
      <c r="AN24" s="344"/>
      <c r="AO24" s="344"/>
      <c r="AP24" s="344"/>
      <c r="AQ24" s="344"/>
      <c r="AR24" s="344"/>
      <c r="AS24" s="344"/>
      <c r="AT24" s="344"/>
      <c r="AU24" s="344"/>
    </row>
    <row r="25" spans="1:51" x14ac:dyDescent="0.25">
      <c r="A25" s="349" t="s">
        <v>174</v>
      </c>
      <c r="B25" s="333">
        <v>210040</v>
      </c>
      <c r="C25" s="333">
        <v>197</v>
      </c>
      <c r="D25" s="333">
        <v>216</v>
      </c>
      <c r="F25" s="335">
        <v>226022</v>
      </c>
      <c r="G25" s="335">
        <v>224840</v>
      </c>
      <c r="H25" s="335">
        <v>227000</v>
      </c>
      <c r="I25" s="344"/>
      <c r="J25" s="337">
        <v>209489</v>
      </c>
      <c r="K25" s="337">
        <v>203480</v>
      </c>
      <c r="L25" s="337">
        <v>214240</v>
      </c>
      <c r="N25" s="393" t="s">
        <v>172</v>
      </c>
      <c r="O25" s="394">
        <v>153047</v>
      </c>
      <c r="P25" s="394">
        <v>135000</v>
      </c>
      <c r="Q25" s="394">
        <v>163800</v>
      </c>
      <c r="R25" s="366"/>
      <c r="S25" s="395">
        <v>197003</v>
      </c>
      <c r="T25" s="395">
        <v>190760</v>
      </c>
      <c r="U25" s="395">
        <v>201540</v>
      </c>
      <c r="V25" s="366"/>
      <c r="W25" s="399">
        <v>216548</v>
      </c>
      <c r="X25" s="399">
        <v>209000</v>
      </c>
      <c r="Y25" s="399">
        <v>221000</v>
      </c>
      <c r="Z25" s="156"/>
      <c r="AA25" s="349" t="s">
        <v>173</v>
      </c>
      <c r="AB25" s="333">
        <v>217198</v>
      </c>
      <c r="AC25" s="333">
        <v>209000</v>
      </c>
      <c r="AD25" s="333">
        <v>223880</v>
      </c>
      <c r="AE25" s="344"/>
      <c r="AF25" s="335">
        <v>204555</v>
      </c>
      <c r="AG25" s="335">
        <v>201580</v>
      </c>
      <c r="AH25" s="335">
        <v>207060</v>
      </c>
      <c r="AI25" s="344"/>
      <c r="AJ25" s="337">
        <v>216431</v>
      </c>
      <c r="AK25" s="337">
        <v>211000</v>
      </c>
      <c r="AL25" s="337">
        <v>222000</v>
      </c>
      <c r="AN25" s="344"/>
      <c r="AO25" s="344"/>
      <c r="AP25" s="344"/>
      <c r="AQ25" s="344"/>
      <c r="AR25" s="344"/>
      <c r="AS25" s="344"/>
      <c r="AT25" s="344"/>
      <c r="AU25" s="344"/>
    </row>
    <row r="26" spans="1:51" x14ac:dyDescent="0.25">
      <c r="A26" s="349" t="s">
        <v>175</v>
      </c>
      <c r="B26" s="333">
        <v>203960</v>
      </c>
      <c r="C26" s="333">
        <v>195</v>
      </c>
      <c r="D26" s="333">
        <v>210</v>
      </c>
      <c r="F26" s="335">
        <v>236704</v>
      </c>
      <c r="G26" s="335">
        <v>234180</v>
      </c>
      <c r="H26" s="335">
        <v>238620</v>
      </c>
      <c r="I26" s="344"/>
      <c r="J26" s="337">
        <v>208035</v>
      </c>
      <c r="K26" s="337">
        <v>198000</v>
      </c>
      <c r="L26" s="337">
        <v>213800</v>
      </c>
      <c r="N26" s="393" t="s">
        <v>174</v>
      </c>
      <c r="O26" s="394">
        <v>112980</v>
      </c>
      <c r="P26" s="394">
        <v>95000</v>
      </c>
      <c r="Q26" s="394">
        <v>145000</v>
      </c>
      <c r="R26" s="366"/>
      <c r="S26" s="395">
        <v>181467</v>
      </c>
      <c r="T26" s="395">
        <v>176380</v>
      </c>
      <c r="U26" s="395">
        <v>189080</v>
      </c>
      <c r="V26" s="366"/>
      <c r="W26" s="399">
        <v>205187</v>
      </c>
      <c r="X26" s="399">
        <v>202300</v>
      </c>
      <c r="Y26" s="399">
        <v>208020</v>
      </c>
      <c r="Z26" s="156"/>
      <c r="AA26" s="349" t="s">
        <v>174</v>
      </c>
      <c r="AB26" s="333">
        <v>223221</v>
      </c>
      <c r="AC26" s="333">
        <v>220240</v>
      </c>
      <c r="AD26" s="333">
        <v>227000</v>
      </c>
      <c r="AE26" s="344"/>
      <c r="AF26" s="335">
        <v>206422</v>
      </c>
      <c r="AG26" s="335">
        <v>205000</v>
      </c>
      <c r="AH26" s="335">
        <v>208000</v>
      </c>
      <c r="AI26" s="344"/>
      <c r="AJ26" s="337">
        <v>217000</v>
      </c>
      <c r="AK26" s="337">
        <v>211000</v>
      </c>
      <c r="AL26" s="337">
        <v>219000</v>
      </c>
      <c r="AN26" s="344"/>
      <c r="AO26" s="344"/>
      <c r="AP26" s="344"/>
      <c r="AQ26" s="344"/>
      <c r="AR26" s="344"/>
      <c r="AS26" s="344"/>
      <c r="AT26" s="344"/>
      <c r="AU26" s="344"/>
    </row>
    <row r="27" spans="1:51" x14ac:dyDescent="0.25">
      <c r="A27" s="349" t="s">
        <v>130</v>
      </c>
      <c r="B27" s="333">
        <v>217400</v>
      </c>
      <c r="C27" s="333">
        <v>214</v>
      </c>
      <c r="D27" s="333">
        <v>220</v>
      </c>
      <c r="F27" s="335">
        <v>231364</v>
      </c>
      <c r="G27" s="335">
        <v>229000</v>
      </c>
      <c r="H27" s="335">
        <v>233000</v>
      </c>
      <c r="I27" s="344"/>
      <c r="J27" s="337">
        <v>223695</v>
      </c>
      <c r="K27" s="337">
        <v>220000</v>
      </c>
      <c r="L27" s="337">
        <v>226920</v>
      </c>
      <c r="N27" s="393" t="s">
        <v>175</v>
      </c>
      <c r="O27" s="394">
        <v>143647</v>
      </c>
      <c r="P27" s="394">
        <v>131000</v>
      </c>
      <c r="Q27" s="394">
        <v>157000</v>
      </c>
      <c r="R27" s="366"/>
      <c r="S27" s="395">
        <v>209107</v>
      </c>
      <c r="T27" s="395">
        <v>199000</v>
      </c>
      <c r="U27" s="395">
        <v>215640</v>
      </c>
      <c r="V27" s="366"/>
      <c r="W27" s="399">
        <v>215588</v>
      </c>
      <c r="X27" s="399">
        <v>212000</v>
      </c>
      <c r="Y27" s="399">
        <v>219000</v>
      </c>
      <c r="Z27" s="156"/>
      <c r="AA27" s="349" t="s">
        <v>175</v>
      </c>
      <c r="AB27" s="333">
        <v>195016</v>
      </c>
      <c r="AC27" s="333">
        <v>189000</v>
      </c>
      <c r="AD27" s="333">
        <v>203000</v>
      </c>
      <c r="AE27" s="344"/>
      <c r="AF27" s="335">
        <v>201567</v>
      </c>
      <c r="AG27" s="335">
        <v>198440</v>
      </c>
      <c r="AH27" s="335">
        <v>204640</v>
      </c>
      <c r="AI27" s="344"/>
      <c r="AJ27" s="337">
        <v>212510</v>
      </c>
      <c r="AK27" s="337">
        <v>211000</v>
      </c>
      <c r="AL27" s="337">
        <v>215000</v>
      </c>
      <c r="AN27" s="344"/>
      <c r="AO27" s="344"/>
      <c r="AP27" s="344"/>
      <c r="AQ27" s="344"/>
      <c r="AR27" s="344"/>
      <c r="AS27" s="344"/>
      <c r="AT27" s="344"/>
      <c r="AU27" s="344"/>
    </row>
    <row r="28" spans="1:51" x14ac:dyDescent="0.25">
      <c r="A28" s="349" t="s">
        <v>131</v>
      </c>
      <c r="B28" s="353">
        <v>233560</v>
      </c>
      <c r="C28" s="333">
        <v>221</v>
      </c>
      <c r="D28" s="333">
        <v>225</v>
      </c>
      <c r="F28" s="335">
        <v>236562</v>
      </c>
      <c r="G28" s="335">
        <v>234880</v>
      </c>
      <c r="H28" s="335">
        <v>241000</v>
      </c>
      <c r="I28" s="344"/>
      <c r="J28" s="337">
        <v>230002</v>
      </c>
      <c r="K28" s="337">
        <v>225000</v>
      </c>
      <c r="L28" s="337">
        <v>233000</v>
      </c>
      <c r="N28" s="393" t="s">
        <v>173</v>
      </c>
      <c r="O28" s="389"/>
      <c r="P28" s="394"/>
      <c r="Q28" s="394"/>
      <c r="R28" s="366"/>
      <c r="S28" s="395"/>
      <c r="T28" s="395"/>
      <c r="U28" s="390"/>
      <c r="V28" s="330"/>
      <c r="W28" s="396"/>
      <c r="X28" s="396"/>
      <c r="Y28" s="396"/>
      <c r="Z28" s="156"/>
      <c r="AA28" s="349" t="s">
        <v>130</v>
      </c>
      <c r="AB28" s="333">
        <v>213595</v>
      </c>
      <c r="AC28" s="333">
        <v>208760</v>
      </c>
      <c r="AD28" s="333">
        <v>215640</v>
      </c>
      <c r="AE28" s="344"/>
      <c r="AF28" s="335">
        <v>223044</v>
      </c>
      <c r="AG28" s="335">
        <v>223000</v>
      </c>
      <c r="AH28" s="335">
        <v>223320</v>
      </c>
      <c r="AI28" s="344"/>
      <c r="AJ28" s="337">
        <v>208882</v>
      </c>
      <c r="AK28" s="337">
        <v>205000</v>
      </c>
      <c r="AL28" s="337">
        <v>215000</v>
      </c>
      <c r="AN28" s="344"/>
      <c r="AO28" s="344"/>
      <c r="AP28" s="344"/>
      <c r="AQ28" s="344"/>
      <c r="AR28" s="344"/>
      <c r="AS28" s="344"/>
      <c r="AT28" s="344"/>
      <c r="AU28" s="344"/>
    </row>
    <row r="29" spans="1:51" x14ac:dyDescent="0.25">
      <c r="A29" s="349" t="s">
        <v>132</v>
      </c>
      <c r="B29" s="333">
        <v>222268</v>
      </c>
      <c r="C29" s="333">
        <v>216160</v>
      </c>
      <c r="D29" s="333">
        <v>229360</v>
      </c>
      <c r="F29" s="335">
        <v>233384</v>
      </c>
      <c r="G29" s="335">
        <v>231018</v>
      </c>
      <c r="H29" s="335">
        <v>235800</v>
      </c>
      <c r="I29" s="344"/>
      <c r="J29" s="337">
        <v>221988</v>
      </c>
      <c r="K29" s="337">
        <v>219000</v>
      </c>
      <c r="L29" s="337">
        <v>225000</v>
      </c>
      <c r="N29" s="393" t="s">
        <v>130</v>
      </c>
      <c r="O29" s="389"/>
      <c r="P29" s="394"/>
      <c r="Q29" s="394"/>
      <c r="R29" s="366"/>
      <c r="S29" s="395"/>
      <c r="T29" s="395"/>
      <c r="U29" s="390"/>
      <c r="V29" s="330"/>
      <c r="W29" s="396"/>
      <c r="X29" s="396"/>
      <c r="Y29" s="396"/>
      <c r="Z29" s="156"/>
      <c r="AA29" s="349" t="s">
        <v>131</v>
      </c>
      <c r="AB29" s="333">
        <v>216593</v>
      </c>
      <c r="AC29" s="333">
        <v>195000</v>
      </c>
      <c r="AD29" s="333">
        <v>211060</v>
      </c>
      <c r="AE29" s="344"/>
      <c r="AF29" s="335">
        <v>229802</v>
      </c>
      <c r="AG29" s="335">
        <v>227000</v>
      </c>
      <c r="AH29" s="335">
        <v>232160</v>
      </c>
      <c r="AI29" s="344"/>
      <c r="AJ29" s="337">
        <v>205608</v>
      </c>
      <c r="AK29" s="337">
        <v>200000</v>
      </c>
      <c r="AL29" s="337">
        <v>210000</v>
      </c>
      <c r="AN29" s="344"/>
      <c r="AO29" s="344"/>
      <c r="AP29" s="344"/>
      <c r="AQ29" s="344"/>
      <c r="AR29" s="344"/>
      <c r="AS29" s="344"/>
      <c r="AU29" s="344"/>
    </row>
    <row r="30" spans="1:51" x14ac:dyDescent="0.25">
      <c r="N30" s="391" t="s">
        <v>131</v>
      </c>
      <c r="O30" s="389"/>
      <c r="P30" s="394"/>
      <c r="Q30" s="394"/>
      <c r="R30" s="330"/>
      <c r="S30" s="390"/>
      <c r="T30" s="390"/>
      <c r="U30" s="390"/>
      <c r="V30" s="330"/>
      <c r="W30" s="396"/>
      <c r="X30" s="396"/>
      <c r="Y30" s="396"/>
      <c r="Z30" s="156"/>
      <c r="AA30" s="349" t="s">
        <v>132</v>
      </c>
      <c r="AB30" s="333">
        <v>216855</v>
      </c>
      <c r="AC30" s="333">
        <v>212000</v>
      </c>
      <c r="AD30" s="333">
        <v>220600</v>
      </c>
      <c r="AE30" s="344"/>
      <c r="AF30" s="335">
        <v>234029</v>
      </c>
      <c r="AG30" s="335">
        <v>227000</v>
      </c>
      <c r="AH30" s="335">
        <v>239000</v>
      </c>
      <c r="AI30" s="344"/>
      <c r="AJ30" s="337">
        <v>218980</v>
      </c>
      <c r="AK30" s="337">
        <v>213000</v>
      </c>
      <c r="AL30" s="337">
        <v>227000</v>
      </c>
      <c r="AN30" s="344"/>
      <c r="AQ30" s="344"/>
      <c r="AR30" s="344"/>
      <c r="AS30" s="344"/>
      <c r="AU30" s="344"/>
    </row>
    <row r="31" spans="1:51" x14ac:dyDescent="0.25">
      <c r="N31" s="391" t="s">
        <v>132</v>
      </c>
      <c r="O31" s="389"/>
      <c r="P31" s="394"/>
      <c r="Q31" s="394"/>
      <c r="R31" s="330"/>
      <c r="S31" s="390"/>
      <c r="T31" s="390"/>
      <c r="U31" s="390"/>
      <c r="V31" s="330"/>
      <c r="W31" s="396"/>
      <c r="X31" s="396"/>
      <c r="Y31" s="396"/>
      <c r="AD31" s="344"/>
      <c r="AE31" s="344"/>
      <c r="AF31" s="344"/>
      <c r="AG31" s="344"/>
      <c r="AQ31" s="344"/>
      <c r="AR31" s="344"/>
      <c r="AS31" s="344"/>
      <c r="AU31" s="344"/>
    </row>
    <row r="32" spans="1:51" x14ac:dyDescent="0.25">
      <c r="N32" s="359"/>
      <c r="O32" s="330"/>
      <c r="P32" s="330"/>
      <c r="Q32" s="330"/>
      <c r="R32" s="330"/>
      <c r="S32" s="330"/>
      <c r="T32" s="330"/>
      <c r="U32" s="330"/>
      <c r="V32" s="330"/>
      <c r="W32" s="311"/>
      <c r="X32" s="311"/>
      <c r="Y32" s="311"/>
      <c r="AD32" s="344"/>
      <c r="AE32" s="344"/>
      <c r="AF32" s="344"/>
      <c r="AG32" s="344"/>
      <c r="AQ32" s="344"/>
      <c r="AR32" s="344"/>
      <c r="AS32" s="344"/>
      <c r="AU32" s="344"/>
    </row>
    <row r="33" spans="1:47 16384:16384" x14ac:dyDescent="0.25">
      <c r="A33" s="400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Q33" s="344"/>
      <c r="AR33" s="344"/>
      <c r="AS33" s="344"/>
      <c r="AT33" s="344"/>
      <c r="AU33" s="344"/>
    </row>
    <row r="34" spans="1:47 16384:16384" x14ac:dyDescent="0.25">
      <c r="A34" s="401" t="s">
        <v>177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63"/>
      <c r="R34" s="464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Q34" s="344"/>
      <c r="AR34" s="344"/>
      <c r="AS34" s="344"/>
      <c r="AT34" s="344"/>
      <c r="AU34" s="344"/>
    </row>
    <row r="35" spans="1:47 16384:16384" x14ac:dyDescent="0.25">
      <c r="A35" s="403" t="s">
        <v>127</v>
      </c>
      <c r="B35" s="404" t="s">
        <v>166</v>
      </c>
      <c r="C35" s="404" t="s">
        <v>129</v>
      </c>
      <c r="D35" s="404"/>
      <c r="E35" s="404" t="s">
        <v>167</v>
      </c>
      <c r="F35" s="404" t="s">
        <v>168</v>
      </c>
      <c r="G35" s="404" t="s">
        <v>169</v>
      </c>
      <c r="H35" s="404" t="s">
        <v>170</v>
      </c>
      <c r="I35" s="404" t="s">
        <v>171</v>
      </c>
      <c r="J35" s="404" t="s">
        <v>172</v>
      </c>
      <c r="K35" s="404" t="s">
        <v>173</v>
      </c>
      <c r="L35" s="404" t="s">
        <v>174</v>
      </c>
      <c r="M35" s="404" t="s">
        <v>175</v>
      </c>
      <c r="N35" s="404" t="s">
        <v>130</v>
      </c>
      <c r="O35" s="404" t="s">
        <v>131</v>
      </c>
      <c r="P35" s="404" t="s">
        <v>132</v>
      </c>
      <c r="Q35" s="463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Q35" s="344"/>
      <c r="AR35" s="344"/>
      <c r="AS35" s="344"/>
      <c r="AT35" s="344"/>
      <c r="AU35" s="344"/>
    </row>
    <row r="36" spans="1:47 16384:16384" x14ac:dyDescent="0.25">
      <c r="A36" s="404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63"/>
      <c r="R36" s="465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Q36" s="344"/>
      <c r="AR36" s="344"/>
      <c r="AS36" s="344"/>
      <c r="AT36" s="344"/>
      <c r="AU36" s="344"/>
    </row>
    <row r="37" spans="1:47 16384:16384" x14ac:dyDescent="0.25">
      <c r="A37" s="405">
        <v>20</v>
      </c>
      <c r="B37" s="409" t="s">
        <v>146</v>
      </c>
      <c r="C37" s="406"/>
      <c r="D37" s="402"/>
      <c r="E37" s="407">
        <f>AVERAGE(E14,AM14)</f>
        <v>95.22750714300841</v>
      </c>
      <c r="F37" s="407">
        <f>AVERAGE(F14,AN14)</f>
        <v>93.135820683259638</v>
      </c>
      <c r="G37" s="407">
        <f>AVERAGE(G14,AO14)</f>
        <v>97.756865352244631</v>
      </c>
      <c r="H37" s="407">
        <f>AVERAGE(H14,AP14)</f>
        <v>94.76804129067375</v>
      </c>
      <c r="I37" s="407"/>
      <c r="J37" s="407"/>
      <c r="K37" s="407">
        <f t="shared" ref="K37:P37" si="24">AVERAGE(K14,AS14)</f>
        <v>97.39246866953556</v>
      </c>
      <c r="L37" s="407">
        <f t="shared" si="24"/>
        <v>94.646040549742324</v>
      </c>
      <c r="M37" s="407">
        <f t="shared" si="24"/>
        <v>101.58902992520959</v>
      </c>
      <c r="N37" s="407">
        <f t="shared" si="24"/>
        <v>100</v>
      </c>
      <c r="O37" s="407">
        <f t="shared" si="24"/>
        <v>93.173792008598127</v>
      </c>
      <c r="P37" s="407">
        <f t="shared" si="24"/>
        <v>96.744220499510874</v>
      </c>
      <c r="Q37" s="463"/>
      <c r="R37" s="466"/>
      <c r="S37" s="467"/>
      <c r="T37" s="468"/>
      <c r="U37" s="463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</row>
    <row r="38" spans="1:47 16384:16384" x14ac:dyDescent="0.25">
      <c r="A38" s="405">
        <v>20</v>
      </c>
      <c r="B38" s="409" t="s">
        <v>148</v>
      </c>
      <c r="C38" s="406"/>
      <c r="D38" s="402"/>
      <c r="E38" s="407">
        <f>AVERAGE(E16,AM16)</f>
        <v>118.52101293838903</v>
      </c>
      <c r="F38" s="407">
        <f>AVERAGE(F16,AN16)</f>
        <v>118.2855488186257</v>
      </c>
      <c r="G38" s="407">
        <f>AVERAGE(G16,AO16)</f>
        <v>111.56797973825179</v>
      </c>
      <c r="H38" s="407">
        <f>AVERAGE(H16,AP16)</f>
        <v>111.80458517032059</v>
      </c>
      <c r="I38" s="407"/>
      <c r="J38" s="407"/>
      <c r="K38" s="407">
        <f t="shared" ref="K38:P38" si="25">AVERAGE(K16,AS16)</f>
        <v>109.07983307675228</v>
      </c>
      <c r="L38" s="407">
        <f t="shared" si="25"/>
        <v>110.60771207209748</v>
      </c>
      <c r="M38" s="407">
        <f t="shared" si="25"/>
        <v>110.79043988164136</v>
      </c>
      <c r="N38" s="407">
        <f t="shared" si="25"/>
        <v>100</v>
      </c>
      <c r="O38" s="407">
        <f t="shared" si="25"/>
        <v>100.35907057183312</v>
      </c>
      <c r="P38" s="407">
        <f t="shared" si="25"/>
        <v>98.625257021332288</v>
      </c>
      <c r="Q38" s="463"/>
      <c r="R38" s="466"/>
      <c r="S38" s="467"/>
      <c r="T38" s="468"/>
      <c r="U38" s="463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XFD38" s="345" t="e">
        <f>(XFD16+#REF!)/2</f>
        <v>#REF!</v>
      </c>
    </row>
    <row r="39" spans="1:47 16384:16384" x14ac:dyDescent="0.25">
      <c r="A39" s="404"/>
      <c r="B39" s="404" t="s">
        <v>162</v>
      </c>
      <c r="C39" s="404"/>
      <c r="D39" s="404"/>
      <c r="E39" s="408">
        <f>E37/E38</f>
        <v>0.80346518125448929</v>
      </c>
      <c r="F39" s="408">
        <f t="shared" ref="F39:P39" si="26">F37/F38</f>
        <v>0.78738122799827692</v>
      </c>
      <c r="G39" s="408">
        <f t="shared" si="26"/>
        <v>0.87620897663998898</v>
      </c>
      <c r="H39" s="408">
        <f t="shared" si="26"/>
        <v>0.84762213594644842</v>
      </c>
      <c r="I39" s="408"/>
      <c r="J39" s="408"/>
      <c r="K39" s="408">
        <f t="shared" si="26"/>
        <v>0.89285494781612751</v>
      </c>
      <c r="L39" s="408">
        <f t="shared" si="26"/>
        <v>0.85569115187961886</v>
      </c>
      <c r="M39" s="408">
        <f t="shared" si="26"/>
        <v>0.91694761780653866</v>
      </c>
      <c r="N39" s="408">
        <f t="shared" si="26"/>
        <v>1</v>
      </c>
      <c r="O39" s="408">
        <f t="shared" si="26"/>
        <v>0.92840429348045783</v>
      </c>
      <c r="P39" s="408">
        <f t="shared" si="26"/>
        <v>0.98092743604800392</v>
      </c>
      <c r="Q39" s="463"/>
      <c r="R39" s="465"/>
      <c r="S39" s="465"/>
      <c r="T39" s="465"/>
      <c r="U39" s="465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</row>
    <row r="40" spans="1:47 16384:16384" x14ac:dyDescent="0.25">
      <c r="A40" s="402"/>
      <c r="B40" s="401" t="s">
        <v>176</v>
      </c>
      <c r="C40" s="402"/>
      <c r="D40" s="402"/>
      <c r="E40" s="401">
        <f t="shared" ref="E40:P40" si="27">COUNT(E16,AM16)</f>
        <v>2</v>
      </c>
      <c r="F40" s="401">
        <f t="shared" si="27"/>
        <v>2</v>
      </c>
      <c r="G40" s="401">
        <f t="shared" si="27"/>
        <v>1</v>
      </c>
      <c r="H40" s="401">
        <f t="shared" si="27"/>
        <v>2</v>
      </c>
      <c r="I40" s="401">
        <f t="shared" si="27"/>
        <v>0</v>
      </c>
      <c r="J40" s="401">
        <f t="shared" si="27"/>
        <v>0</v>
      </c>
      <c r="K40" s="401">
        <f t="shared" si="27"/>
        <v>2</v>
      </c>
      <c r="L40" s="401">
        <f t="shared" si="27"/>
        <v>2</v>
      </c>
      <c r="M40" s="401">
        <f t="shared" si="27"/>
        <v>2</v>
      </c>
      <c r="N40" s="401">
        <f t="shared" si="27"/>
        <v>2</v>
      </c>
      <c r="O40" s="401">
        <f t="shared" si="27"/>
        <v>2</v>
      </c>
      <c r="P40" s="454">
        <f t="shared" si="27"/>
        <v>2</v>
      </c>
      <c r="Q40" s="463"/>
      <c r="R40" s="463"/>
      <c r="S40" s="471"/>
      <c r="T40" s="463"/>
      <c r="U40" s="463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</row>
    <row r="42" spans="1:47 16384:16384" x14ac:dyDescent="0.25">
      <c r="A42" s="156"/>
    </row>
    <row r="43" spans="1:47 16384:16384" x14ac:dyDescent="0.25">
      <c r="B43" s="354">
        <v>1</v>
      </c>
      <c r="C43" s="355" t="s">
        <v>163</v>
      </c>
      <c r="D43" s="354"/>
      <c r="E43" s="354"/>
      <c r="F43" s="354"/>
      <c r="G43" s="354"/>
      <c r="H43" s="354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</row>
    <row r="44" spans="1:47 16384:16384" x14ac:dyDescent="0.25">
      <c r="A44" s="429"/>
      <c r="B44" s="153">
        <v>1</v>
      </c>
      <c r="C44" s="153">
        <v>51</v>
      </c>
      <c r="D44" s="344">
        <v>193182</v>
      </c>
      <c r="E44" s="153">
        <v>181</v>
      </c>
      <c r="F44" s="153">
        <v>201</v>
      </c>
      <c r="G44" s="344">
        <v>7970</v>
      </c>
      <c r="H44" s="344">
        <v>50488</v>
      </c>
      <c r="I44" s="379"/>
      <c r="J44" s="381"/>
      <c r="K44" s="382" t="s">
        <v>163</v>
      </c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3"/>
    </row>
    <row r="45" spans="1:47 16384:16384" x14ac:dyDescent="0.25">
      <c r="A45" s="429"/>
      <c r="B45" s="153">
        <v>2</v>
      </c>
      <c r="C45" s="153">
        <v>51</v>
      </c>
      <c r="D45" s="344">
        <v>177076</v>
      </c>
      <c r="E45" s="344">
        <v>170960</v>
      </c>
      <c r="F45" s="153">
        <v>184</v>
      </c>
      <c r="G45" s="344">
        <v>4574</v>
      </c>
      <c r="H45" s="344">
        <v>50160</v>
      </c>
      <c r="I45" s="379"/>
      <c r="J45" s="369" t="s">
        <v>127</v>
      </c>
      <c r="K45" s="368" t="s">
        <v>166</v>
      </c>
      <c r="L45" s="369" t="s">
        <v>129</v>
      </c>
      <c r="M45" s="369"/>
      <c r="N45" s="369" t="s">
        <v>167</v>
      </c>
      <c r="O45" s="369" t="s">
        <v>168</v>
      </c>
      <c r="P45" s="369" t="s">
        <v>169</v>
      </c>
      <c r="Q45" s="369" t="s">
        <v>170</v>
      </c>
      <c r="R45" s="369" t="s">
        <v>171</v>
      </c>
      <c r="S45" s="369" t="s">
        <v>172</v>
      </c>
      <c r="T45" s="369" t="s">
        <v>173</v>
      </c>
      <c r="U45" s="369" t="s">
        <v>174</v>
      </c>
      <c r="V45" s="369" t="s">
        <v>175</v>
      </c>
      <c r="W45" s="369" t="s">
        <v>130</v>
      </c>
      <c r="X45" s="369" t="s">
        <v>131</v>
      </c>
      <c r="Y45" s="384" t="s">
        <v>132</v>
      </c>
    </row>
    <row r="46" spans="1:47 16384:16384" x14ac:dyDescent="0.25">
      <c r="A46" s="429"/>
      <c r="B46" s="153">
        <v>3</v>
      </c>
      <c r="C46" s="153">
        <v>51</v>
      </c>
      <c r="D46" s="344">
        <v>183176</v>
      </c>
      <c r="E46" s="344">
        <v>181000</v>
      </c>
      <c r="F46" s="153">
        <v>186</v>
      </c>
      <c r="G46" s="344">
        <v>180000</v>
      </c>
      <c r="H46" s="344">
        <v>50000</v>
      </c>
      <c r="I46" s="379"/>
      <c r="J46" s="380">
        <v>20</v>
      </c>
      <c r="K46" s="369" t="s">
        <v>133</v>
      </c>
      <c r="L46" s="369"/>
      <c r="M46" s="369"/>
      <c r="N46" s="370">
        <v>193182</v>
      </c>
      <c r="O46" s="370">
        <v>177076</v>
      </c>
      <c r="P46" s="370">
        <v>183176</v>
      </c>
      <c r="Q46" s="370">
        <v>173216</v>
      </c>
      <c r="R46" s="370">
        <v>179745</v>
      </c>
      <c r="S46" s="370">
        <v>174275</v>
      </c>
      <c r="T46" s="370">
        <v>161059</v>
      </c>
      <c r="U46" s="370">
        <v>206529</v>
      </c>
      <c r="V46" s="369"/>
      <c r="W46" s="370">
        <v>177163</v>
      </c>
      <c r="X46" s="370">
        <v>218647</v>
      </c>
      <c r="Y46" s="384"/>
    </row>
    <row r="47" spans="1:47 16384:16384" x14ac:dyDescent="0.25">
      <c r="A47" s="429">
        <v>308</v>
      </c>
      <c r="B47" s="153">
        <v>4</v>
      </c>
      <c r="C47" s="153">
        <v>51</v>
      </c>
      <c r="D47" s="344">
        <v>173216</v>
      </c>
      <c r="E47" s="344">
        <v>164000</v>
      </c>
      <c r="F47" s="153">
        <v>181</v>
      </c>
      <c r="G47" s="153" t="s">
        <v>164</v>
      </c>
      <c r="H47" s="344">
        <v>50000</v>
      </c>
      <c r="I47" s="379"/>
      <c r="J47" s="380">
        <v>20</v>
      </c>
      <c r="K47" s="369" t="s">
        <v>136</v>
      </c>
      <c r="L47" s="369"/>
      <c r="M47" s="369"/>
      <c r="N47" s="371">
        <v>150700</v>
      </c>
      <c r="O47" s="371">
        <v>164216</v>
      </c>
      <c r="P47" s="371">
        <v>183847</v>
      </c>
      <c r="Q47" s="371">
        <v>192184</v>
      </c>
      <c r="R47" s="371">
        <v>180034</v>
      </c>
      <c r="S47" s="371">
        <v>175478</v>
      </c>
      <c r="T47" s="371">
        <v>211483</v>
      </c>
      <c r="U47" s="371">
        <v>186562</v>
      </c>
      <c r="V47" s="369"/>
      <c r="W47" s="371">
        <v>173225</v>
      </c>
      <c r="X47" s="371">
        <v>182618</v>
      </c>
      <c r="Y47" s="384"/>
    </row>
    <row r="48" spans="1:47 16384:16384" x14ac:dyDescent="0.25">
      <c r="A48" s="429"/>
      <c r="B48" s="153">
        <v>5</v>
      </c>
      <c r="C48" s="153">
        <v>51</v>
      </c>
      <c r="D48" s="344">
        <v>161059</v>
      </c>
      <c r="E48" s="344">
        <v>152000</v>
      </c>
      <c r="F48" s="153">
        <v>167</v>
      </c>
      <c r="G48" s="153" t="s">
        <v>164</v>
      </c>
      <c r="H48" s="344">
        <v>50000</v>
      </c>
      <c r="I48" s="379"/>
      <c r="J48" s="380">
        <v>20</v>
      </c>
      <c r="K48" s="369" t="s">
        <v>139</v>
      </c>
      <c r="L48" s="369"/>
      <c r="M48" s="369"/>
      <c r="N48" s="370">
        <v>198511</v>
      </c>
      <c r="O48" s="370">
        <v>199695</v>
      </c>
      <c r="P48" s="370">
        <v>201098</v>
      </c>
      <c r="Q48" s="370">
        <v>203255</v>
      </c>
      <c r="R48" s="370">
        <v>202451</v>
      </c>
      <c r="S48" s="370">
        <v>194510</v>
      </c>
      <c r="T48" s="370">
        <v>195667</v>
      </c>
      <c r="U48" s="370">
        <v>209490</v>
      </c>
      <c r="V48" s="369"/>
      <c r="W48" s="370">
        <v>192417</v>
      </c>
      <c r="X48" s="370">
        <v>205137</v>
      </c>
      <c r="Y48" s="384"/>
    </row>
    <row r="49" spans="1:25" x14ac:dyDescent="0.25">
      <c r="A49" s="429"/>
      <c r="B49" s="153">
        <v>6</v>
      </c>
      <c r="C49" s="153">
        <v>51</v>
      </c>
      <c r="D49" s="344">
        <v>179745</v>
      </c>
      <c r="E49" s="344">
        <v>174000</v>
      </c>
      <c r="F49" s="153">
        <v>185</v>
      </c>
      <c r="G49" s="153" t="s">
        <v>164</v>
      </c>
      <c r="H49" s="344">
        <v>50000</v>
      </c>
      <c r="I49" s="37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84"/>
    </row>
    <row r="50" spans="1:25" x14ac:dyDescent="0.25">
      <c r="A50" s="429"/>
      <c r="B50" s="153">
        <v>7</v>
      </c>
      <c r="C50" s="153">
        <v>51</v>
      </c>
      <c r="D50" s="344">
        <v>174275</v>
      </c>
      <c r="E50" s="344">
        <v>167000</v>
      </c>
      <c r="F50" s="153">
        <v>179</v>
      </c>
      <c r="G50" s="153" t="s">
        <v>164</v>
      </c>
      <c r="H50" s="344">
        <v>50000</v>
      </c>
      <c r="I50" s="379"/>
      <c r="J50" s="372"/>
      <c r="K50" s="372" t="s">
        <v>142</v>
      </c>
      <c r="L50" s="372"/>
      <c r="M50" s="372"/>
      <c r="N50" s="373">
        <f>N46/N48</f>
        <v>0.97315514001742975</v>
      </c>
      <c r="O50" s="373">
        <f t="shared" ref="O50:X50" si="28">O46/O48</f>
        <v>0.88673226670672778</v>
      </c>
      <c r="P50" s="373">
        <f t="shared" si="28"/>
        <v>0.91087927279236991</v>
      </c>
      <c r="Q50" s="373">
        <f t="shared" si="28"/>
        <v>0.85221027772994518</v>
      </c>
      <c r="R50" s="373">
        <f t="shared" si="28"/>
        <v>0.88784446606833256</v>
      </c>
      <c r="S50" s="373">
        <f t="shared" si="28"/>
        <v>0.89596935890185592</v>
      </c>
      <c r="T50" s="373">
        <f t="shared" si="28"/>
        <v>0.82312806962850149</v>
      </c>
      <c r="U50" s="373">
        <f t="shared" si="28"/>
        <v>0.985865673779178</v>
      </c>
      <c r="V50" s="373"/>
      <c r="W50" s="373">
        <f t="shared" si="28"/>
        <v>0.9207242603304282</v>
      </c>
      <c r="X50" s="373">
        <f t="shared" si="28"/>
        <v>1.0658584263199715</v>
      </c>
      <c r="Y50" s="385"/>
    </row>
    <row r="51" spans="1:25" x14ac:dyDescent="0.25">
      <c r="A51" s="429"/>
      <c r="B51" s="153">
        <v>8</v>
      </c>
      <c r="C51" s="153">
        <v>51</v>
      </c>
      <c r="D51" s="344">
        <v>206529</v>
      </c>
      <c r="E51" s="344">
        <v>205000</v>
      </c>
      <c r="F51" s="153">
        <v>209</v>
      </c>
      <c r="G51" s="153" t="s">
        <v>164</v>
      </c>
      <c r="H51" s="344">
        <v>50000</v>
      </c>
      <c r="I51" s="379"/>
      <c r="J51" s="372"/>
      <c r="K51" s="372" t="s">
        <v>143</v>
      </c>
      <c r="L51" s="372"/>
      <c r="M51" s="372"/>
      <c r="N51" s="374">
        <f>(N50/$N50)*100</f>
        <v>100</v>
      </c>
      <c r="O51" s="374">
        <f t="shared" ref="O51:X51" si="29">(O50/$N50)*100</f>
        <v>91.119311838690592</v>
      </c>
      <c r="P51" s="374">
        <f t="shared" si="29"/>
        <v>93.600622895138343</v>
      </c>
      <c r="Q51" s="374">
        <f t="shared" si="29"/>
        <v>87.57188270255466</v>
      </c>
      <c r="R51" s="374">
        <f t="shared" si="29"/>
        <v>91.233599819698924</v>
      </c>
      <c r="S51" s="374">
        <f t="shared" si="29"/>
        <v>92.068501933392511</v>
      </c>
      <c r="T51" s="374">
        <f t="shared" si="29"/>
        <v>84.58343749936509</v>
      </c>
      <c r="U51" s="374">
        <f t="shared" si="29"/>
        <v>101.30611587393152</v>
      </c>
      <c r="V51" s="374"/>
      <c r="W51" s="374">
        <f t="shared" si="29"/>
        <v>94.612279426889472</v>
      </c>
      <c r="X51" s="374">
        <f t="shared" si="29"/>
        <v>109.52605422203096</v>
      </c>
      <c r="Y51" s="386"/>
    </row>
    <row r="52" spans="1:25" x14ac:dyDescent="0.25">
      <c r="A52" s="429"/>
      <c r="B52" s="153">
        <v>9</v>
      </c>
      <c r="C52" s="153">
        <v>51</v>
      </c>
      <c r="D52" s="344">
        <v>218647</v>
      </c>
      <c r="E52" s="344">
        <v>202000</v>
      </c>
      <c r="F52" s="153">
        <v>216</v>
      </c>
      <c r="G52" s="153" t="s">
        <v>164</v>
      </c>
      <c r="H52" s="344">
        <v>50000</v>
      </c>
      <c r="I52" s="379"/>
      <c r="J52" s="372"/>
      <c r="K52" s="372" t="s">
        <v>144</v>
      </c>
      <c r="L52" s="372"/>
      <c r="M52" s="372"/>
      <c r="N52" s="373">
        <f>N47/N48</f>
        <v>0.75915188578970438</v>
      </c>
      <c r="O52" s="373">
        <f t="shared" ref="O52:X52" si="30">O47/O48</f>
        <v>0.82233405944064697</v>
      </c>
      <c r="P52" s="373">
        <f t="shared" si="30"/>
        <v>0.91421595441028747</v>
      </c>
      <c r="Q52" s="373">
        <f t="shared" si="30"/>
        <v>0.94553147524046144</v>
      </c>
      <c r="R52" s="373">
        <f t="shared" si="30"/>
        <v>0.88927197198334407</v>
      </c>
      <c r="S52" s="373">
        <f t="shared" si="30"/>
        <v>0.90215413089301322</v>
      </c>
      <c r="T52" s="373">
        <f t="shared" si="30"/>
        <v>1.0808312081240066</v>
      </c>
      <c r="U52" s="373">
        <f t="shared" si="30"/>
        <v>0.8905532483650771</v>
      </c>
      <c r="V52" s="373"/>
      <c r="W52" s="373">
        <f t="shared" si="30"/>
        <v>0.90025829318615302</v>
      </c>
      <c r="X52" s="373">
        <f t="shared" si="30"/>
        <v>0.89022458162106299</v>
      </c>
      <c r="Y52" s="385"/>
    </row>
    <row r="53" spans="1:25" x14ac:dyDescent="0.25">
      <c r="A53" s="429"/>
      <c r="B53" s="153">
        <v>10</v>
      </c>
      <c r="C53" s="153">
        <v>51</v>
      </c>
      <c r="D53" s="344">
        <v>177163</v>
      </c>
      <c r="E53" s="344">
        <v>173120</v>
      </c>
      <c r="F53" s="153">
        <v>184</v>
      </c>
      <c r="G53" s="344">
        <v>-6843</v>
      </c>
      <c r="H53" s="344">
        <v>50359</v>
      </c>
      <c r="I53" s="379"/>
      <c r="J53" s="372"/>
      <c r="K53" s="372" t="s">
        <v>143</v>
      </c>
      <c r="L53" s="372"/>
      <c r="M53" s="372"/>
      <c r="N53" s="374">
        <f>(N52/$N52)*100</f>
        <v>100</v>
      </c>
      <c r="O53" s="374">
        <f t="shared" ref="O53:X53" si="31">(O52/$N52)*100</f>
        <v>108.32273156842885</v>
      </c>
      <c r="P53" s="374">
        <f t="shared" si="31"/>
        <v>120.42596106565399</v>
      </c>
      <c r="Q53" s="374">
        <f t="shared" si="31"/>
        <v>124.55102765856618</v>
      </c>
      <c r="R53" s="374">
        <f t="shared" si="31"/>
        <v>117.14019139375289</v>
      </c>
      <c r="S53" s="374">
        <f t="shared" si="31"/>
        <v>118.83710595733439</v>
      </c>
      <c r="T53" s="374">
        <f t="shared" si="31"/>
        <v>142.37351291035478</v>
      </c>
      <c r="U53" s="374">
        <f t="shared" si="31"/>
        <v>117.30896873669529</v>
      </c>
      <c r="V53" s="374"/>
      <c r="W53" s="374">
        <f t="shared" si="31"/>
        <v>118.58737494271824</v>
      </c>
      <c r="X53" s="374">
        <f t="shared" si="31"/>
        <v>117.26567479905697</v>
      </c>
      <c r="Y53" s="386"/>
    </row>
    <row r="54" spans="1:25" x14ac:dyDescent="0.25">
      <c r="A54" s="357"/>
      <c r="B54" s="358">
        <v>11</v>
      </c>
      <c r="C54" s="358">
        <v>51</v>
      </c>
      <c r="D54" s="356">
        <v>150700</v>
      </c>
      <c r="E54" s="356">
        <v>117000</v>
      </c>
      <c r="F54" s="356">
        <v>168800</v>
      </c>
      <c r="G54" s="356">
        <v>5711</v>
      </c>
      <c r="H54" s="356">
        <v>50249</v>
      </c>
      <c r="I54" s="379"/>
      <c r="J54" s="372"/>
      <c r="K54" s="372"/>
      <c r="L54" s="372"/>
      <c r="M54" s="372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86"/>
    </row>
    <row r="55" spans="1:25" x14ac:dyDescent="0.25">
      <c r="A55" s="357"/>
      <c r="B55" s="358">
        <v>12</v>
      </c>
      <c r="C55" s="358">
        <v>51</v>
      </c>
      <c r="D55" s="356">
        <v>164216</v>
      </c>
      <c r="E55" s="356">
        <v>159000</v>
      </c>
      <c r="F55" s="356">
        <v>171000</v>
      </c>
      <c r="G55" s="356">
        <v>5711</v>
      </c>
      <c r="H55" s="356">
        <v>50249</v>
      </c>
      <c r="I55" s="379"/>
      <c r="J55" s="372"/>
      <c r="K55" s="372" t="s">
        <v>139</v>
      </c>
      <c r="L55" s="372"/>
      <c r="M55" s="372"/>
      <c r="N55" s="374">
        <f>N48/$W48</f>
        <v>1.0316707983182358</v>
      </c>
      <c r="O55" s="374">
        <f>O48/$W48</f>
        <v>1.037824100781116</v>
      </c>
      <c r="P55" s="374">
        <f t="shared" ref="P55:X55" si="32">P48/$W48</f>
        <v>1.045115556317789</v>
      </c>
      <c r="Q55" s="374">
        <f t="shared" si="32"/>
        <v>1.0563255845377488</v>
      </c>
      <c r="R55" s="374">
        <f t="shared" si="32"/>
        <v>1.0521471595545093</v>
      </c>
      <c r="S55" s="374">
        <f t="shared" si="32"/>
        <v>1.0108774172760202</v>
      </c>
      <c r="T55" s="374">
        <f t="shared" si="32"/>
        <v>1.0168903994969261</v>
      </c>
      <c r="U55" s="374">
        <f t="shared" si="32"/>
        <v>1.0887291663418512</v>
      </c>
      <c r="V55" s="374"/>
      <c r="W55" s="374">
        <f t="shared" si="32"/>
        <v>1</v>
      </c>
      <c r="X55" s="374">
        <f t="shared" si="32"/>
        <v>1.0661064251079686</v>
      </c>
      <c r="Y55" s="386"/>
    </row>
    <row r="56" spans="1:25" x14ac:dyDescent="0.25">
      <c r="A56" s="357"/>
      <c r="B56" s="358">
        <v>13</v>
      </c>
      <c r="C56" s="358">
        <v>51</v>
      </c>
      <c r="D56" s="356">
        <v>183847</v>
      </c>
      <c r="E56" s="356">
        <v>181000</v>
      </c>
      <c r="F56" s="356">
        <v>187000</v>
      </c>
      <c r="G56" s="356">
        <v>5711</v>
      </c>
      <c r="H56" s="356">
        <v>50249</v>
      </c>
      <c r="I56" s="379"/>
      <c r="J56" s="372"/>
      <c r="K56" s="369" t="s">
        <v>145</v>
      </c>
      <c r="L56" s="372"/>
      <c r="M56" s="372"/>
      <c r="N56" s="374">
        <f>N46/N55</f>
        <v>187251.59257673379</v>
      </c>
      <c r="O56" s="374">
        <f t="shared" ref="O56:X56" si="33">O46/O55</f>
        <v>170622.36256290844</v>
      </c>
      <c r="P56" s="374">
        <f t="shared" si="33"/>
        <v>175268.65703288943</v>
      </c>
      <c r="Q56" s="374">
        <f t="shared" si="33"/>
        <v>163979.74500996285</v>
      </c>
      <c r="R56" s="374">
        <f t="shared" si="33"/>
        <v>170836.36862747034</v>
      </c>
      <c r="S56" s="374">
        <f t="shared" si="33"/>
        <v>172399.73613181844</v>
      </c>
      <c r="T56" s="374">
        <f t="shared" si="33"/>
        <v>158383.83377370736</v>
      </c>
      <c r="U56" s="374">
        <f t="shared" si="33"/>
        <v>189697.3153515681</v>
      </c>
      <c r="V56" s="374"/>
      <c r="W56" s="374">
        <f>W46/W55</f>
        <v>177163</v>
      </c>
      <c r="X56" s="374">
        <f t="shared" si="33"/>
        <v>205089.28081720998</v>
      </c>
      <c r="Y56" s="386"/>
    </row>
    <row r="57" spans="1:25" x14ac:dyDescent="0.25">
      <c r="A57" s="357">
        <v>505</v>
      </c>
      <c r="B57" s="358">
        <v>14</v>
      </c>
      <c r="C57" s="358">
        <v>51</v>
      </c>
      <c r="D57" s="356">
        <v>192184</v>
      </c>
      <c r="E57" s="356">
        <v>180120</v>
      </c>
      <c r="F57" s="356">
        <v>198740</v>
      </c>
      <c r="G57" s="356">
        <v>3434</v>
      </c>
      <c r="H57" s="356">
        <v>50090</v>
      </c>
      <c r="I57" s="379"/>
      <c r="J57" s="376"/>
      <c r="K57" s="375" t="s">
        <v>146</v>
      </c>
      <c r="L57" s="376"/>
      <c r="M57" s="376"/>
      <c r="N57" s="377">
        <f>($W56/N56)*100</f>
        <v>94.612279426889472</v>
      </c>
      <c r="O57" s="377">
        <f t="shared" ref="O57:U57" si="34">($W56/O56)*100</f>
        <v>103.83339987727578</v>
      </c>
      <c r="P57" s="377">
        <f t="shared" si="34"/>
        <v>101.08082243521449</v>
      </c>
      <c r="Q57" s="377">
        <f t="shared" si="34"/>
        <v>108.03956305044638</v>
      </c>
      <c r="R57" s="377">
        <f t="shared" si="34"/>
        <v>103.70332817500099</v>
      </c>
      <c r="S57" s="377">
        <f t="shared" si="34"/>
        <v>102.76291830547788</v>
      </c>
      <c r="T57" s="377">
        <f t="shared" si="34"/>
        <v>111.85674432728001</v>
      </c>
      <c r="U57" s="377">
        <f t="shared" si="34"/>
        <v>93.392465608520553</v>
      </c>
      <c r="V57" s="377"/>
      <c r="W57" s="377">
        <f>($W56/W56)*100</f>
        <v>100</v>
      </c>
      <c r="X57" s="377">
        <f>($W56/X56)*100</f>
        <v>86.383354261162069</v>
      </c>
      <c r="Y57" s="387"/>
    </row>
    <row r="58" spans="1:25" x14ac:dyDescent="0.25">
      <c r="A58" s="357"/>
      <c r="B58" s="358">
        <v>15</v>
      </c>
      <c r="C58" s="358">
        <v>51</v>
      </c>
      <c r="D58" s="356">
        <v>211483</v>
      </c>
      <c r="E58" s="356">
        <v>201000</v>
      </c>
      <c r="F58" s="356">
        <v>215520</v>
      </c>
      <c r="G58" s="356">
        <v>-1146</v>
      </c>
      <c r="H58" s="356">
        <v>50010</v>
      </c>
      <c r="I58" s="379"/>
      <c r="J58" s="372"/>
      <c r="K58" s="369" t="s">
        <v>147</v>
      </c>
      <c r="L58" s="372"/>
      <c r="M58" s="372"/>
      <c r="N58" s="374">
        <f>N47*N55</f>
        <v>155472.78930655814</v>
      </c>
      <c r="O58" s="374">
        <f t="shared" ref="O58:X58" si="35">O47*O55</f>
        <v>170427.32253387175</v>
      </c>
      <c r="P58" s="374">
        <f t="shared" si="35"/>
        <v>192141.35968235656</v>
      </c>
      <c r="Q58" s="374">
        <f t="shared" si="35"/>
        <v>203008.87613880273</v>
      </c>
      <c r="R58" s="374">
        <f t="shared" si="35"/>
        <v>189422.26172323653</v>
      </c>
      <c r="S58" s="374">
        <f t="shared" si="35"/>
        <v>177386.74742876148</v>
      </c>
      <c r="T58" s="374">
        <f t="shared" si="35"/>
        <v>215055.0323568084</v>
      </c>
      <c r="U58" s="374">
        <f t="shared" si="35"/>
        <v>203115.49073106845</v>
      </c>
      <c r="V58" s="374"/>
      <c r="W58" s="374">
        <f t="shared" si="35"/>
        <v>173225</v>
      </c>
      <c r="X58" s="374">
        <f t="shared" si="35"/>
        <v>194690.22314036702</v>
      </c>
      <c r="Y58" s="386"/>
    </row>
    <row r="59" spans="1:25" x14ac:dyDescent="0.25">
      <c r="A59" s="357"/>
      <c r="B59" s="358">
        <v>16</v>
      </c>
      <c r="C59" s="358">
        <v>51</v>
      </c>
      <c r="D59" s="356">
        <v>180034</v>
      </c>
      <c r="E59" s="356">
        <v>208800</v>
      </c>
      <c r="F59" s="356">
        <v>217180</v>
      </c>
      <c r="G59" s="356">
        <v>-1146</v>
      </c>
      <c r="H59" s="356">
        <v>50010</v>
      </c>
      <c r="I59" s="379"/>
      <c r="J59" s="376"/>
      <c r="K59" s="375" t="s">
        <v>148</v>
      </c>
      <c r="L59" s="376"/>
      <c r="M59" s="376"/>
      <c r="N59" s="377">
        <f>($W58/N58)*100</f>
        <v>111.41821071881486</v>
      </c>
      <c r="O59" s="377">
        <f t="shared" ref="O59:U59" si="36">($W58/O58)*100</f>
        <v>101.64156628440386</v>
      </c>
      <c r="P59" s="377">
        <f t="shared" si="36"/>
        <v>90.154977713476882</v>
      </c>
      <c r="Q59" s="377">
        <f t="shared" si="36"/>
        <v>85.328781329522414</v>
      </c>
      <c r="R59" s="377">
        <f t="shared" si="36"/>
        <v>91.44912452428521</v>
      </c>
      <c r="S59" s="377">
        <f t="shared" si="36"/>
        <v>97.65385662171137</v>
      </c>
      <c r="T59" s="377">
        <f t="shared" si="36"/>
        <v>80.549149723031761</v>
      </c>
      <c r="U59" s="377">
        <f t="shared" si="36"/>
        <v>85.283992558379296</v>
      </c>
      <c r="V59" s="377"/>
      <c r="W59" s="377">
        <f>($W58/W58)*100</f>
        <v>100</v>
      </c>
      <c r="X59" s="377">
        <f>($W58/X58)*100</f>
        <v>88.974678443461897</v>
      </c>
      <c r="Y59" s="387"/>
    </row>
    <row r="60" spans="1:25" x14ac:dyDescent="0.25">
      <c r="A60" s="357"/>
      <c r="B60" s="358">
        <v>17</v>
      </c>
      <c r="C60" s="358">
        <v>51</v>
      </c>
      <c r="D60" s="356">
        <v>175478</v>
      </c>
      <c r="E60" s="356">
        <v>210160</v>
      </c>
      <c r="F60" s="356">
        <v>217700</v>
      </c>
      <c r="G60" s="356">
        <v>-1146</v>
      </c>
      <c r="H60" s="356">
        <v>50010</v>
      </c>
      <c r="I60" s="379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88"/>
    </row>
    <row r="61" spans="1:25" x14ac:dyDescent="0.25">
      <c r="A61" s="357"/>
      <c r="B61" s="358">
        <v>18</v>
      </c>
      <c r="C61" s="358">
        <v>51</v>
      </c>
      <c r="D61" s="356">
        <v>186562</v>
      </c>
      <c r="E61" s="356">
        <v>180920</v>
      </c>
      <c r="F61" s="356">
        <v>191000</v>
      </c>
      <c r="G61" s="356">
        <v>-1146</v>
      </c>
      <c r="H61" s="356">
        <v>50010</v>
      </c>
    </row>
    <row r="62" spans="1:25" x14ac:dyDescent="0.25">
      <c r="A62" s="357"/>
      <c r="B62" s="358">
        <v>19</v>
      </c>
      <c r="C62" s="358">
        <v>51</v>
      </c>
      <c r="D62" s="356">
        <v>182618</v>
      </c>
      <c r="E62" s="356">
        <v>171000</v>
      </c>
      <c r="F62" s="356">
        <v>187000</v>
      </c>
      <c r="G62" s="356">
        <v>-1146</v>
      </c>
      <c r="H62" s="356">
        <v>50010</v>
      </c>
      <c r="M62" s="344"/>
      <c r="O62" s="344"/>
      <c r="P62" s="344"/>
      <c r="Q62" s="344"/>
      <c r="R62" s="344"/>
      <c r="S62" s="344"/>
    </row>
    <row r="63" spans="1:25" x14ac:dyDescent="0.25">
      <c r="A63" s="357"/>
      <c r="B63" s="358">
        <v>20</v>
      </c>
      <c r="C63" s="358">
        <v>26</v>
      </c>
      <c r="D63" s="356">
        <v>173225</v>
      </c>
      <c r="E63" s="356">
        <v>155</v>
      </c>
      <c r="F63" s="356">
        <v>181880</v>
      </c>
      <c r="G63" s="356">
        <v>-2291</v>
      </c>
      <c r="H63" s="356">
        <v>25020</v>
      </c>
      <c r="M63" s="344"/>
      <c r="N63" s="344"/>
      <c r="O63" s="344"/>
      <c r="P63" s="344"/>
      <c r="Q63" s="344"/>
    </row>
    <row r="64" spans="1:25" x14ac:dyDescent="0.25">
      <c r="A64" s="429"/>
      <c r="B64" s="153">
        <v>21</v>
      </c>
      <c r="C64" s="153">
        <v>51</v>
      </c>
      <c r="D64" s="344">
        <v>198511</v>
      </c>
      <c r="E64" s="344">
        <v>173000</v>
      </c>
      <c r="F64" s="344">
        <v>211000</v>
      </c>
      <c r="G64" s="344">
        <v>3434</v>
      </c>
      <c r="H64" s="344">
        <v>50090</v>
      </c>
      <c r="M64" s="344"/>
      <c r="N64" s="344"/>
      <c r="O64" s="344"/>
      <c r="P64" s="344"/>
      <c r="Q64" s="344"/>
    </row>
    <row r="65" spans="1:17" x14ac:dyDescent="0.25">
      <c r="A65" s="429"/>
      <c r="B65" s="153">
        <v>22</v>
      </c>
      <c r="C65" s="153">
        <v>51</v>
      </c>
      <c r="D65" s="344">
        <v>199695</v>
      </c>
      <c r="E65" s="344">
        <v>194420</v>
      </c>
      <c r="F65" s="344">
        <v>204240</v>
      </c>
      <c r="G65" s="344">
        <v>3434</v>
      </c>
      <c r="H65" s="344">
        <v>50090</v>
      </c>
      <c r="M65" s="344"/>
      <c r="N65" s="344"/>
      <c r="O65" s="344"/>
      <c r="P65" s="344"/>
      <c r="Q65" s="344"/>
    </row>
    <row r="66" spans="1:17" x14ac:dyDescent="0.25">
      <c r="A66" s="429"/>
      <c r="B66" s="153">
        <v>23</v>
      </c>
      <c r="C66" s="153">
        <v>51</v>
      </c>
      <c r="D66" s="344">
        <v>201098</v>
      </c>
      <c r="E66" s="344">
        <v>198180</v>
      </c>
      <c r="F66" s="344">
        <v>203940</v>
      </c>
      <c r="G66" s="344">
        <v>3434</v>
      </c>
      <c r="H66" s="344">
        <v>50090</v>
      </c>
      <c r="M66" s="344"/>
      <c r="N66" s="344"/>
      <c r="O66" s="344"/>
      <c r="P66" s="344"/>
      <c r="Q66" s="344"/>
    </row>
    <row r="67" spans="1:17" x14ac:dyDescent="0.25">
      <c r="A67" s="429" t="s">
        <v>165</v>
      </c>
      <c r="B67" s="153">
        <v>24</v>
      </c>
      <c r="C67" s="153">
        <v>51</v>
      </c>
      <c r="D67" s="344">
        <v>203255</v>
      </c>
      <c r="E67" s="344">
        <v>195000</v>
      </c>
      <c r="F67" s="344">
        <v>209000</v>
      </c>
      <c r="G67" s="153" t="s">
        <v>164</v>
      </c>
      <c r="H67" s="344">
        <v>50000</v>
      </c>
      <c r="M67" s="344"/>
      <c r="N67" s="344"/>
      <c r="O67" s="344"/>
      <c r="P67" s="344"/>
      <c r="Q67" s="344"/>
    </row>
    <row r="68" spans="1:17" x14ac:dyDescent="0.25">
      <c r="A68" s="429"/>
      <c r="B68" s="153">
        <v>25</v>
      </c>
      <c r="C68" s="153">
        <v>51</v>
      </c>
      <c r="D68" s="344">
        <v>195667</v>
      </c>
      <c r="E68" s="344">
        <v>187000</v>
      </c>
      <c r="F68" s="344">
        <v>202000</v>
      </c>
      <c r="G68" s="153" t="s">
        <v>164</v>
      </c>
      <c r="H68" s="344">
        <v>50000</v>
      </c>
      <c r="M68" s="344"/>
      <c r="N68" s="344"/>
      <c r="O68" s="344"/>
      <c r="P68" s="344"/>
      <c r="Q68" s="344"/>
    </row>
    <row r="69" spans="1:17" x14ac:dyDescent="0.25">
      <c r="A69" s="429"/>
      <c r="B69" s="153">
        <v>26</v>
      </c>
      <c r="C69" s="153">
        <v>51</v>
      </c>
      <c r="D69" s="344">
        <v>202451</v>
      </c>
      <c r="E69" s="344">
        <v>196000</v>
      </c>
      <c r="F69" s="344">
        <v>206000</v>
      </c>
      <c r="G69" s="153" t="s">
        <v>164</v>
      </c>
      <c r="H69" s="344">
        <v>50000</v>
      </c>
      <c r="M69" s="344"/>
      <c r="N69" s="344"/>
      <c r="O69" s="344"/>
      <c r="P69" s="344"/>
      <c r="Q69" s="344"/>
    </row>
    <row r="70" spans="1:17" x14ac:dyDescent="0.25">
      <c r="A70" s="429"/>
      <c r="B70" s="153">
        <v>27</v>
      </c>
      <c r="C70" s="153">
        <v>51</v>
      </c>
      <c r="D70" s="344">
        <v>194510</v>
      </c>
      <c r="E70" s="344">
        <v>190000</v>
      </c>
      <c r="F70" s="344">
        <v>199000</v>
      </c>
      <c r="G70" s="153" t="s">
        <v>164</v>
      </c>
      <c r="H70" s="344">
        <v>50000</v>
      </c>
      <c r="M70" s="344"/>
      <c r="N70" s="344"/>
      <c r="O70" s="344"/>
      <c r="P70" s="344"/>
      <c r="Q70" s="344"/>
    </row>
    <row r="71" spans="1:17" x14ac:dyDescent="0.25">
      <c r="A71" s="429"/>
      <c r="B71" s="153">
        <v>28</v>
      </c>
      <c r="C71" s="153">
        <v>51</v>
      </c>
      <c r="D71" s="344">
        <v>209490</v>
      </c>
      <c r="E71" s="344">
        <v>207000</v>
      </c>
      <c r="F71" s="344">
        <v>212000</v>
      </c>
      <c r="G71" s="153" t="s">
        <v>164</v>
      </c>
      <c r="H71" s="344">
        <v>50000</v>
      </c>
      <c r="M71" s="344"/>
      <c r="N71" s="344"/>
      <c r="O71" s="344"/>
      <c r="P71" s="344"/>
      <c r="Q71" s="344"/>
    </row>
    <row r="72" spans="1:17" x14ac:dyDescent="0.25">
      <c r="A72" s="429"/>
      <c r="B72" s="153">
        <v>29</v>
      </c>
      <c r="C72" s="153">
        <v>51</v>
      </c>
      <c r="D72" s="344">
        <v>205137</v>
      </c>
      <c r="E72" s="344">
        <v>196000</v>
      </c>
      <c r="F72" s="344">
        <v>213000</v>
      </c>
      <c r="G72" s="153" t="s">
        <v>164</v>
      </c>
      <c r="H72" s="344">
        <v>50000</v>
      </c>
    </row>
    <row r="73" spans="1:17" x14ac:dyDescent="0.25">
      <c r="A73" s="429"/>
      <c r="B73" s="153">
        <v>30</v>
      </c>
      <c r="C73" s="153">
        <v>51</v>
      </c>
      <c r="D73" s="344">
        <v>192417</v>
      </c>
      <c r="E73" s="344">
        <v>186200</v>
      </c>
      <c r="F73" s="344">
        <v>205000</v>
      </c>
      <c r="G73" s="344">
        <v>-4574</v>
      </c>
      <c r="H73" s="344">
        <v>25080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Recipes</vt:lpstr>
      <vt:lpstr>Explanation survival sheets</vt:lpstr>
      <vt:lpstr>Fig S1A</vt:lpstr>
      <vt:lpstr>Fig S1B</vt:lpstr>
      <vt:lpstr>Fig S1D</vt:lpstr>
      <vt:lpstr>Fig S2A</vt:lpstr>
      <vt:lpstr>Fig S2B</vt:lpstr>
      <vt:lpstr>Fig S2C</vt:lpstr>
      <vt:lpstr>Fig S3_WB adults AKT YF20</vt:lpstr>
    </vt:vector>
  </TitlesOfParts>
  <Company>TUD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Prince</dc:creator>
  <cp:lastModifiedBy>eprince</cp:lastModifiedBy>
  <dcterms:created xsi:type="dcterms:W3CDTF">2020-03-31T19:31:16Z</dcterms:created>
  <dcterms:modified xsi:type="dcterms:W3CDTF">2021-06-30T08:03:53Z</dcterms:modified>
</cp:coreProperties>
</file>