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ni.au.dk\Users\au26222\Documents\S1\EU_NH3 emission\Data all (Final)\Data to opload\"/>
    </mc:Choice>
  </mc:AlternateContent>
  <bookViews>
    <workbookView xWindow="0" yWindow="0" windowWidth="15996" windowHeight="5976" activeTab="5"/>
  </bookViews>
  <sheets>
    <sheet name="Pig barn litter" sheetId="1" r:id="rId1"/>
    <sheet name="Pig barn slats-holes" sheetId="3" r:id="rId2"/>
    <sheet name="Poultry barn" sheetId="4" r:id="rId3"/>
    <sheet name="Cattle barn_Slurry" sheetId="5" r:id="rId4"/>
    <sheet name="Cattle barn litter" sheetId="2" r:id="rId5"/>
    <sheet name="References" sheetId="6"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8" i="6" l="1"/>
  <c r="Q30" i="4" l="1"/>
  <c r="F28" i="2"/>
  <c r="F27" i="2"/>
  <c r="F26" i="2"/>
  <c r="F25" i="2"/>
  <c r="Q14" i="2"/>
  <c r="Q28" i="2"/>
  <c r="Q25" i="2"/>
  <c r="Q26" i="2"/>
  <c r="Q13" i="2"/>
  <c r="V36" i="5"/>
  <c r="U47" i="1"/>
  <c r="U44" i="1"/>
  <c r="C58" i="6"/>
  <c r="B58" i="6"/>
  <c r="R14" i="4" l="1"/>
  <c r="P28" i="2" l="1"/>
  <c r="Q22" i="4" l="1"/>
  <c r="R38" i="4" l="1"/>
  <c r="P6" i="4"/>
  <c r="P14" i="2"/>
  <c r="V50" i="5"/>
  <c r="Q53" i="4" l="1"/>
  <c r="U14" i="1"/>
  <c r="Q46" i="4" l="1"/>
  <c r="U49" i="3"/>
  <c r="U25" i="3"/>
  <c r="U14" i="3"/>
  <c r="U23" i="1"/>
  <c r="U52" i="3" l="1"/>
  <c r="V25" i="1"/>
  <c r="V26" i="1"/>
  <c r="V37" i="1"/>
  <c r="V38" i="1"/>
  <c r="V39" i="1"/>
  <c r="V40" i="1"/>
  <c r="O21" i="2"/>
  <c r="Q30" i="5"/>
  <c r="G30" i="5"/>
  <c r="L30" i="5"/>
  <c r="O30" i="5" l="1"/>
  <c r="Y30" i="5" s="1"/>
  <c r="T30" i="5" s="1"/>
  <c r="W30" i="5" s="1"/>
  <c r="I7" i="2"/>
  <c r="V45" i="3"/>
  <c r="V44" i="3"/>
  <c r="V43" i="3"/>
  <c r="V42" i="3"/>
  <c r="V41" i="3"/>
  <c r="V40" i="3"/>
  <c r="V39" i="3"/>
  <c r="V21" i="3" l="1"/>
  <c r="V20" i="3"/>
  <c r="V19" i="3"/>
  <c r="V9" i="3"/>
  <c r="V8" i="3"/>
  <c r="V7" i="3"/>
  <c r="I8" i="2"/>
  <c r="I6" i="2"/>
  <c r="I5" i="2"/>
  <c r="Q4" i="2"/>
  <c r="T18" i="5" l="1"/>
  <c r="W18" i="5" s="1"/>
  <c r="T14" i="5"/>
  <c r="W14" i="5" s="1"/>
  <c r="T16" i="5"/>
  <c r="W16" i="5" s="1"/>
  <c r="T21" i="5"/>
  <c r="W21" i="5" s="1"/>
  <c r="Z5" i="1" l="1"/>
  <c r="T4" i="1"/>
  <c r="V4" i="1" s="1"/>
  <c r="M49" i="4"/>
  <c r="P49" i="4" s="1"/>
  <c r="R49" i="4" s="1"/>
  <c r="J49" i="4"/>
  <c r="M48" i="4"/>
  <c r="P48" i="4" s="1"/>
  <c r="J48" i="4"/>
  <c r="M68" i="4"/>
  <c r="J68" i="4"/>
  <c r="R48" i="4" l="1"/>
  <c r="P51" i="4"/>
  <c r="P50" i="4"/>
  <c r="P52" i="4"/>
  <c r="P68" i="4"/>
  <c r="M17" i="4"/>
  <c r="P17" i="4" s="1"/>
  <c r="R17" i="4" s="1"/>
  <c r="M42" i="4"/>
  <c r="P42" i="4" s="1"/>
  <c r="R42" i="4" s="1"/>
  <c r="H42" i="4"/>
  <c r="M41" i="4"/>
  <c r="P41" i="4" s="1"/>
  <c r="R41" i="4" s="1"/>
  <c r="H41" i="4"/>
  <c r="M40" i="4"/>
  <c r="P40" i="4" s="1"/>
  <c r="R40" i="4" s="1"/>
  <c r="H40" i="4"/>
  <c r="M39" i="4"/>
  <c r="P39" i="4" s="1"/>
  <c r="R39" i="4" s="1"/>
  <c r="H39" i="4"/>
  <c r="H38" i="4"/>
  <c r="M37" i="4"/>
  <c r="P37" i="4" s="1"/>
  <c r="R37" i="4" s="1"/>
  <c r="H37" i="4"/>
  <c r="M36" i="4"/>
  <c r="P36" i="4" s="1"/>
  <c r="R36" i="4" s="1"/>
  <c r="H36" i="4"/>
  <c r="M18" i="4"/>
  <c r="P18" i="4" s="1"/>
  <c r="H18" i="4"/>
  <c r="M25" i="4"/>
  <c r="P25" i="4" s="1"/>
  <c r="R25" i="4" s="1"/>
  <c r="H25" i="4"/>
  <c r="M13" i="4"/>
  <c r="P13" i="4" s="1"/>
  <c r="R13" i="4" s="1"/>
  <c r="H13" i="4"/>
  <c r="M12" i="4"/>
  <c r="P12" i="4" s="1"/>
  <c r="R12" i="4" s="1"/>
  <c r="H12" i="4"/>
  <c r="M15" i="4"/>
  <c r="P15" i="4" s="1"/>
  <c r="H15" i="4"/>
  <c r="H17" i="4"/>
  <c r="T8" i="5"/>
  <c r="T6" i="5"/>
  <c r="Q13" i="5"/>
  <c r="T13" i="5" s="1"/>
  <c r="W13" i="5" s="1"/>
  <c r="Q12" i="5"/>
  <c r="T12" i="5" s="1"/>
  <c r="W12" i="5" s="1"/>
  <c r="Q17" i="5"/>
  <c r="T17" i="5" s="1"/>
  <c r="N19" i="5"/>
  <c r="T19" i="5" s="1"/>
  <c r="N15" i="5"/>
  <c r="T15" i="5" s="1"/>
  <c r="N10" i="5"/>
  <c r="T10" i="5" s="1"/>
  <c r="N9" i="5"/>
  <c r="T9" i="5" s="1"/>
  <c r="T20" i="5"/>
  <c r="W20" i="5" s="1"/>
  <c r="T7" i="5"/>
  <c r="W40" i="5" l="1"/>
  <c r="R53" i="4"/>
  <c r="R52" i="4"/>
  <c r="R51" i="4"/>
  <c r="R50" i="4"/>
  <c r="R18" i="4"/>
  <c r="M45" i="3"/>
  <c r="M44" i="3"/>
  <c r="L56" i="5" l="1"/>
  <c r="L54" i="5"/>
  <c r="L26" i="5"/>
  <c r="O45" i="5"/>
  <c r="L45" i="5"/>
  <c r="T44" i="5"/>
  <c r="W44" i="5" s="1"/>
  <c r="L43" i="5"/>
  <c r="Y43" i="5" s="1"/>
  <c r="T43" i="5" s="1"/>
  <c r="W43" i="5" s="1"/>
  <c r="T25" i="5"/>
  <c r="W25" i="5" s="1"/>
  <c r="Q22" i="5"/>
  <c r="O22" i="5" s="1"/>
  <c r="L22" i="5"/>
  <c r="L29" i="5"/>
  <c r="L23" i="5"/>
  <c r="L3" i="5"/>
  <c r="L11" i="5"/>
  <c r="L28" i="5"/>
  <c r="Y28" i="5" s="1"/>
  <c r="T28" i="5" s="1"/>
  <c r="W28" i="5" s="1"/>
  <c r="L27" i="5"/>
  <c r="Y27" i="5" s="1"/>
  <c r="T27" i="5" s="1"/>
  <c r="W27" i="5" s="1"/>
  <c r="L46" i="5"/>
  <c r="Q46" i="5"/>
  <c r="J10" i="2"/>
  <c r="J9" i="2"/>
  <c r="L10" i="2"/>
  <c r="L24" i="2"/>
  <c r="J24" i="2"/>
  <c r="J32" i="2"/>
  <c r="J23" i="2"/>
  <c r="T23" i="2" s="1"/>
  <c r="J22" i="2"/>
  <c r="Q21" i="2"/>
  <c r="J20" i="2"/>
  <c r="J19" i="2"/>
  <c r="T19" i="2" s="1"/>
  <c r="O19" i="2" s="1"/>
  <c r="L20" i="2"/>
  <c r="M19" i="2"/>
  <c r="O24" i="5"/>
  <c r="L64" i="4"/>
  <c r="K64" i="4" s="1"/>
  <c r="S64" i="4" s="1"/>
  <c r="P64" i="4" s="1"/>
  <c r="K16" i="4"/>
  <c r="K14" i="4"/>
  <c r="K65" i="4"/>
  <c r="S65" i="4" s="1"/>
  <c r="P65" i="4" s="1"/>
  <c r="R6" i="4"/>
  <c r="G36" i="3"/>
  <c r="N35" i="3"/>
  <c r="N34" i="3"/>
  <c r="Q33" i="3"/>
  <c r="F33" i="3"/>
  <c r="N33" i="3"/>
  <c r="N32" i="3"/>
  <c r="Q32" i="3"/>
  <c r="G32" i="3"/>
  <c r="S14" i="4" l="1"/>
  <c r="P14" i="4" s="1"/>
  <c r="S16" i="4"/>
  <c r="P16" i="4" s="1"/>
  <c r="R16" i="4" s="1"/>
  <c r="O23" i="2"/>
  <c r="Q23" i="2" s="1"/>
  <c r="Y45" i="5"/>
  <c r="T45" i="5" s="1"/>
  <c r="W45" i="5" s="1"/>
  <c r="T24" i="2"/>
  <c r="T10" i="2"/>
  <c r="Y22" i="5"/>
  <c r="T22" i="5" s="1"/>
  <c r="Y46" i="5"/>
  <c r="T46" i="5" s="1"/>
  <c r="O46" i="5"/>
  <c r="T20" i="2"/>
  <c r="Q19" i="2"/>
  <c r="N30" i="3"/>
  <c r="W30" i="3" s="1"/>
  <c r="T30" i="3" s="1"/>
  <c r="V30" i="3" s="1"/>
  <c r="F30" i="3"/>
  <c r="N10" i="3"/>
  <c r="N31" i="3"/>
  <c r="F31" i="3"/>
  <c r="N29" i="3"/>
  <c r="F29" i="3"/>
  <c r="N28" i="3"/>
  <c r="W28" i="3" s="1"/>
  <c r="T28" i="3" s="1"/>
  <c r="V28" i="3" s="1"/>
  <c r="F28" i="3"/>
  <c r="N27" i="3"/>
  <c r="F27" i="3"/>
  <c r="F18" i="3"/>
  <c r="N17" i="1"/>
  <c r="Z17" i="1" s="1"/>
  <c r="N16" i="1"/>
  <c r="Z16" i="1" s="1"/>
  <c r="T16" i="1" s="1"/>
  <c r="V16" i="1" s="1"/>
  <c r="N17" i="3"/>
  <c r="W17" i="3" s="1"/>
  <c r="T17" i="3" s="1"/>
  <c r="V17" i="3" s="1"/>
  <c r="N16" i="3"/>
  <c r="W16" i="3" s="1"/>
  <c r="T16" i="3" s="1"/>
  <c r="V16" i="3" s="1"/>
  <c r="T6" i="3"/>
  <c r="V6" i="3" s="1"/>
  <c r="M5" i="3"/>
  <c r="T5" i="3" s="1"/>
  <c r="V5" i="3" s="1"/>
  <c r="N5" i="3"/>
  <c r="N4" i="3"/>
  <c r="M4" i="3"/>
  <c r="T4" i="3" s="1"/>
  <c r="V4" i="3" s="1"/>
  <c r="G38" i="3"/>
  <c r="T38" i="3" s="1"/>
  <c r="V38" i="3" s="1"/>
  <c r="G37" i="3"/>
  <c r="T37" i="3" s="1"/>
  <c r="V37" i="3" s="1"/>
  <c r="L36" i="3"/>
  <c r="T36" i="3" s="1"/>
  <c r="V36" i="3" s="1"/>
  <c r="N36" i="1"/>
  <c r="T36" i="1" s="1"/>
  <c r="V36" i="1" s="1"/>
  <c r="H36" i="1"/>
  <c r="N35" i="1"/>
  <c r="H35" i="1"/>
  <c r="N32" i="1"/>
  <c r="T32" i="1" s="1"/>
  <c r="V32" i="1" s="1"/>
  <c r="H32" i="1"/>
  <c r="N31" i="1"/>
  <c r="T31" i="1" s="1"/>
  <c r="V31" i="1" s="1"/>
  <c r="H31" i="1"/>
  <c r="N30" i="1"/>
  <c r="T30" i="1" s="1"/>
  <c r="V30" i="1" s="1"/>
  <c r="H30" i="1"/>
  <c r="N29" i="1"/>
  <c r="H29" i="1"/>
  <c r="N27" i="1"/>
  <c r="N28" i="1"/>
  <c r="T28" i="1" s="1"/>
  <c r="H28" i="1"/>
  <c r="I10" i="1"/>
  <c r="N10" i="1" s="1"/>
  <c r="O10" i="1"/>
  <c r="H27" i="1"/>
  <c r="T19" i="1"/>
  <c r="V19" i="1" s="1"/>
  <c r="T18" i="1"/>
  <c r="V18" i="1" s="1"/>
  <c r="I19" i="1"/>
  <c r="I18" i="1"/>
  <c r="I17" i="1"/>
  <c r="I16" i="1"/>
  <c r="G29" i="5"/>
  <c r="O29" i="5" s="1"/>
  <c r="Y29" i="5" s="1"/>
  <c r="T29" i="5" s="1"/>
  <c r="W29" i="5" s="1"/>
  <c r="I7" i="1"/>
  <c r="I9" i="1"/>
  <c r="I8" i="1"/>
  <c r="L6" i="3"/>
  <c r="N4" i="1"/>
  <c r="N8" i="1" s="1"/>
  <c r="V14" i="3" l="1"/>
  <c r="O20" i="2"/>
  <c r="Q20" i="2" s="1"/>
  <c r="O24" i="2"/>
  <c r="Q24" i="2" s="1"/>
  <c r="O10" i="2"/>
  <c r="Q10" i="2" s="1"/>
  <c r="V13" i="3"/>
  <c r="V12" i="3"/>
  <c r="V11" i="3"/>
  <c r="W22" i="5"/>
  <c r="T49" i="5"/>
  <c r="W46" i="5"/>
  <c r="W50" i="5" s="1"/>
  <c r="T47" i="5"/>
  <c r="N9" i="1"/>
  <c r="T9" i="1" s="1"/>
  <c r="V9" i="1" s="1"/>
  <c r="T8" i="1"/>
  <c r="V8" i="1" s="1"/>
  <c r="T7" i="1"/>
  <c r="V7" i="1" s="1"/>
  <c r="K76" i="4"/>
  <c r="K75" i="4"/>
  <c r="L76" i="4"/>
  <c r="L75" i="4"/>
  <c r="W48" i="5" l="1"/>
  <c r="W49" i="5"/>
  <c r="W47" i="5"/>
  <c r="K35" i="4"/>
  <c r="S35" i="4" s="1"/>
  <c r="P35" i="4" s="1"/>
  <c r="R35" i="4" s="1"/>
  <c r="L26" i="4"/>
  <c r="K26" i="4"/>
  <c r="S26" i="4" s="1"/>
  <c r="P26" i="4" s="1"/>
  <c r="R26" i="4" s="1"/>
  <c r="L35" i="4"/>
  <c r="Q35" i="1"/>
  <c r="O35" i="1"/>
  <c r="T35" i="1" s="1"/>
  <c r="V35" i="1" s="1"/>
  <c r="Q10" i="1"/>
  <c r="N32" i="2"/>
  <c r="L32" i="2"/>
  <c r="T32" i="2" s="1"/>
  <c r="O32" i="2" s="1"/>
  <c r="Q32" i="2" s="1"/>
  <c r="L9" i="2"/>
  <c r="T9" i="2" s="1"/>
  <c r="N9" i="2"/>
  <c r="N22" i="2"/>
  <c r="L22" i="2"/>
  <c r="T22" i="2" s="1"/>
  <c r="O31" i="3"/>
  <c r="W31" i="3" s="1"/>
  <c r="T31" i="3" s="1"/>
  <c r="V31" i="3" s="1"/>
  <c r="Q31" i="3"/>
  <c r="Q18" i="3"/>
  <c r="O18" i="3"/>
  <c r="O10" i="3"/>
  <c r="Q54" i="5"/>
  <c r="Y54" i="5" s="1"/>
  <c r="T54" i="5" s="1"/>
  <c r="W54" i="5" s="1"/>
  <c r="O54" i="5"/>
  <c r="Q56" i="5"/>
  <c r="Y56" i="5" s="1"/>
  <c r="T56" i="5" s="1"/>
  <c r="W56" i="5" s="1"/>
  <c r="O56" i="5"/>
  <c r="O26" i="5"/>
  <c r="Q26" i="5"/>
  <c r="Y26" i="5" s="1"/>
  <c r="T26" i="5" s="1"/>
  <c r="O9" i="2" l="1"/>
  <c r="Q9" i="2" s="1"/>
  <c r="O22" i="2"/>
  <c r="Q22" i="2" s="1"/>
  <c r="W18" i="3"/>
  <c r="T18" i="3" s="1"/>
  <c r="V18" i="3" s="1"/>
  <c r="W26" i="5"/>
  <c r="W10" i="3"/>
  <c r="T10" i="3"/>
  <c r="Q25" i="5"/>
  <c r="Q3" i="5"/>
  <c r="O3" i="5" s="1"/>
  <c r="Y3" i="5" s="1"/>
  <c r="T3" i="5" s="1"/>
  <c r="W3" i="5" s="1"/>
  <c r="Q11" i="5"/>
  <c r="O11" i="5" s="1"/>
  <c r="Y11" i="5" s="1"/>
  <c r="T11" i="5" s="1"/>
  <c r="W11" i="5" s="1"/>
  <c r="Z34" i="1"/>
  <c r="T34" i="1" s="1"/>
  <c r="V34" i="1" s="1"/>
  <c r="Z33" i="1"/>
  <c r="T33" i="1" s="1"/>
  <c r="V33" i="1" s="1"/>
  <c r="O32" i="3"/>
  <c r="W32" i="3" s="1"/>
  <c r="T32" i="3" s="1"/>
  <c r="V32" i="3" s="1"/>
  <c r="O35" i="3"/>
  <c r="W35" i="3" s="1"/>
  <c r="T35" i="3" s="1"/>
  <c r="V35" i="3" s="1"/>
  <c r="O34" i="3"/>
  <c r="W34" i="3" s="1"/>
  <c r="T34" i="3" s="1"/>
  <c r="V34" i="3" s="1"/>
  <c r="W34" i="5" l="1"/>
  <c r="W36" i="5"/>
  <c r="W35" i="5"/>
  <c r="W33" i="5"/>
  <c r="W39" i="5"/>
  <c r="W41" i="5" s="1"/>
  <c r="V25" i="3"/>
  <c r="Q11" i="2"/>
  <c r="Q12" i="2"/>
  <c r="V24" i="3"/>
  <c r="V23" i="3"/>
  <c r="V22" i="3"/>
  <c r="K73" i="4"/>
  <c r="K72" i="4"/>
  <c r="K80" i="4"/>
  <c r="S80" i="4" s="1"/>
  <c r="P80" i="4" s="1"/>
  <c r="R80" i="4" s="1"/>
  <c r="K78" i="4"/>
  <c r="S78" i="4" s="1"/>
  <c r="P78" i="4" s="1"/>
  <c r="K79" i="4"/>
  <c r="S79" i="4" s="1"/>
  <c r="P79" i="4" s="1"/>
  <c r="K74" i="4" l="1"/>
  <c r="S74" i="4" s="1"/>
  <c r="P74" i="4" s="1"/>
  <c r="K34" i="4"/>
  <c r="S34" i="4" s="1"/>
  <c r="P34" i="4" s="1"/>
  <c r="R34" i="4" s="1"/>
  <c r="L8" i="4" l="1"/>
  <c r="K8" i="4" s="1"/>
  <c r="S8" i="4" s="1"/>
  <c r="P8" i="4" s="1"/>
  <c r="R8" i="4" s="1"/>
  <c r="L10" i="4"/>
  <c r="K10" i="4" s="1"/>
  <c r="S10" i="4" s="1"/>
  <c r="P10" i="4" s="1"/>
  <c r="R10" i="4" s="1"/>
  <c r="L9" i="4"/>
  <c r="K9" i="4" s="1"/>
  <c r="S9" i="4" s="1"/>
  <c r="P9" i="4" s="1"/>
  <c r="R9" i="4" s="1"/>
  <c r="L24" i="4"/>
  <c r="K24" i="4" s="1"/>
  <c r="S24" i="4" s="1"/>
  <c r="P24" i="4" s="1"/>
  <c r="L11" i="4"/>
  <c r="K11" i="4" s="1"/>
  <c r="S11" i="4" s="1"/>
  <c r="P11" i="4" s="1"/>
  <c r="R11" i="4" s="1"/>
  <c r="L33" i="4"/>
  <c r="K33" i="4" s="1"/>
  <c r="S33" i="4" s="1"/>
  <c r="P33" i="4" s="1"/>
  <c r="R33" i="4" s="1"/>
  <c r="L32" i="4"/>
  <c r="K32" i="4" s="1"/>
  <c r="S32" i="4" s="1"/>
  <c r="P32" i="4" s="1"/>
  <c r="P44" i="4" l="1"/>
  <c r="P43" i="4"/>
  <c r="P45" i="4"/>
  <c r="R32" i="4"/>
  <c r="P29" i="4"/>
  <c r="P28" i="4"/>
  <c r="R24" i="4"/>
  <c r="P27" i="4"/>
  <c r="K7" i="4"/>
  <c r="S7" i="4" s="1"/>
  <c r="P7" i="4" s="1"/>
  <c r="N18" i="2"/>
  <c r="T18" i="2" s="1"/>
  <c r="N17" i="2"/>
  <c r="T17" i="2" s="1"/>
  <c r="O29" i="3"/>
  <c r="W29" i="3" s="1"/>
  <c r="T29" i="3" s="1"/>
  <c r="O29" i="1"/>
  <c r="T29" i="1" s="1"/>
  <c r="V29" i="1" s="1"/>
  <c r="N19" i="1"/>
  <c r="N18" i="1"/>
  <c r="T17" i="1"/>
  <c r="V17" i="1" s="1"/>
  <c r="V22" i="1" l="1"/>
  <c r="V20" i="1"/>
  <c r="V23" i="1"/>
  <c r="V45" i="1"/>
  <c r="V46" i="1"/>
  <c r="V21" i="1"/>
  <c r="V41" i="1"/>
  <c r="V43" i="1"/>
  <c r="V42" i="1"/>
  <c r="R45" i="4"/>
  <c r="R44" i="4"/>
  <c r="R43" i="4"/>
  <c r="R7" i="4"/>
  <c r="R22" i="4" s="1"/>
  <c r="P19" i="4"/>
  <c r="P20" i="4"/>
  <c r="P21" i="4"/>
  <c r="R28" i="4"/>
  <c r="R29" i="4"/>
  <c r="R27" i="4"/>
  <c r="R46" i="4"/>
  <c r="O17" i="2"/>
  <c r="Q17" i="2" s="1"/>
  <c r="O18" i="2"/>
  <c r="Q18" i="2" s="1"/>
  <c r="V29" i="3"/>
  <c r="T5" i="1"/>
  <c r="V5" i="1" s="1"/>
  <c r="Z6" i="1"/>
  <c r="T6" i="1" s="1"/>
  <c r="V6" i="1" s="1"/>
  <c r="G25" i="1"/>
  <c r="G26" i="1" s="1"/>
  <c r="V49" i="3" l="1"/>
  <c r="V52" i="3" s="1"/>
  <c r="V51" i="3"/>
  <c r="V50" i="3"/>
  <c r="V47" i="1"/>
  <c r="V14" i="1"/>
  <c r="R19" i="4"/>
  <c r="R21" i="4"/>
  <c r="R20" i="4"/>
  <c r="V13" i="1"/>
  <c r="V11" i="1"/>
  <c r="V12" i="1"/>
  <c r="Q27" i="2"/>
  <c r="V47" i="3"/>
  <c r="V46" i="3"/>
  <c r="V48" i="3"/>
  <c r="R30" i="4"/>
</calcChain>
</file>

<file path=xl/comments1.xml><?xml version="1.0" encoding="utf-8"?>
<comments xmlns="http://schemas.openxmlformats.org/spreadsheetml/2006/main">
  <authors>
    <author>Sven Gjedde Sommer</author>
  </authors>
  <commentList>
    <comment ref="N7" authorId="0" shapeId="0">
      <text>
        <r>
          <rPr>
            <b/>
            <sz val="9"/>
            <color indexed="81"/>
            <rFont val="Tahoma"/>
            <family val="2"/>
          </rPr>
          <t>Sven Gjedde Sommer:</t>
        </r>
        <r>
          <rPr>
            <sz val="9"/>
            <color indexed="81"/>
            <rFont val="Tahoma"/>
            <family val="2"/>
          </rPr>
          <t xml:space="preserve">
Philippe et al. 2011b
</t>
        </r>
      </text>
    </comment>
    <comment ref="U7" authorId="0" shapeId="0">
      <text>
        <r>
          <rPr>
            <b/>
            <sz val="9"/>
            <color indexed="81"/>
            <rFont val="Tahoma"/>
            <family val="2"/>
          </rPr>
          <t>Sven Gjedde Sommer:</t>
        </r>
        <r>
          <rPr>
            <sz val="9"/>
            <color indexed="81"/>
            <rFont val="Tahoma"/>
            <family val="2"/>
          </rPr>
          <t xml:space="preserve">
I think there was on barn not 4
</t>
        </r>
      </text>
    </comment>
    <comment ref="N8" authorId="0" shapeId="0">
      <text>
        <r>
          <rPr>
            <b/>
            <sz val="9"/>
            <color indexed="81"/>
            <rFont val="Tahoma"/>
            <family val="2"/>
          </rPr>
          <t>Sven Gjedde Sommer:</t>
        </r>
        <r>
          <rPr>
            <sz val="9"/>
            <color indexed="81"/>
            <rFont val="Tahoma"/>
            <family val="2"/>
          </rPr>
          <t xml:space="preserve">
From Philippe et al. 2011b
</t>
        </r>
      </text>
    </comment>
    <comment ref="N9" authorId="0" shapeId="0">
      <text>
        <r>
          <rPr>
            <b/>
            <sz val="9"/>
            <color indexed="81"/>
            <rFont val="Tahoma"/>
            <family val="2"/>
          </rPr>
          <t>Sven Gjedde Sommer:</t>
        </r>
        <r>
          <rPr>
            <sz val="9"/>
            <color indexed="81"/>
            <rFont val="Tahoma"/>
            <family val="2"/>
          </rPr>
          <t xml:space="preserve">
From Philippe et al. 2011b
</t>
        </r>
      </text>
    </comment>
    <comment ref="Q10" authorId="0" shapeId="0">
      <text>
        <r>
          <rPr>
            <b/>
            <sz val="9"/>
            <color indexed="81"/>
            <rFont val="Tahoma"/>
            <family val="2"/>
          </rPr>
          <t>Sven Gjedde Sommer:</t>
        </r>
        <r>
          <rPr>
            <sz val="9"/>
            <color indexed="81"/>
            <rFont val="Tahoma"/>
            <family val="2"/>
          </rPr>
          <t xml:space="preserve">
Not used
</t>
        </r>
      </text>
    </comment>
    <comment ref="Z18" authorId="0" shapeId="0">
      <text>
        <r>
          <rPr>
            <b/>
            <sz val="9"/>
            <color indexed="81"/>
            <rFont val="Tahoma"/>
            <family val="2"/>
          </rPr>
          <t>Sven Gjedde Sommer:</t>
        </r>
        <r>
          <rPr>
            <sz val="9"/>
            <color indexed="81"/>
            <rFont val="Tahoma"/>
            <family val="2"/>
          </rPr>
          <t xml:space="preserve">
Given in article</t>
        </r>
      </text>
    </comment>
    <comment ref="Z19" authorId="0" shapeId="0">
      <text>
        <r>
          <rPr>
            <b/>
            <sz val="9"/>
            <color indexed="81"/>
            <rFont val="Tahoma"/>
            <family val="2"/>
          </rPr>
          <t>Sven Gjedde Sommer:</t>
        </r>
        <r>
          <rPr>
            <sz val="9"/>
            <color indexed="81"/>
            <rFont val="Tahoma"/>
            <family val="2"/>
          </rPr>
          <t xml:space="preserve">
Given in article</t>
        </r>
      </text>
    </comment>
    <comment ref="U36" authorId="0" shapeId="0">
      <text>
        <r>
          <rPr>
            <b/>
            <sz val="9"/>
            <color indexed="81"/>
            <rFont val="Tahoma"/>
            <family val="2"/>
          </rPr>
          <t>Sven Gjedde Sommer:</t>
        </r>
        <r>
          <rPr>
            <sz val="9"/>
            <color indexed="81"/>
            <rFont val="Tahoma"/>
            <family val="2"/>
          </rPr>
          <t xml:space="preserve">
The emission factor is the average of more studies not all published but it should only be weighted one</t>
        </r>
      </text>
    </comment>
    <comment ref="U37" authorId="0" shapeId="0">
      <text>
        <r>
          <rPr>
            <b/>
            <sz val="9"/>
            <color indexed="81"/>
            <rFont val="Tahoma"/>
            <family val="2"/>
          </rPr>
          <t>Sven Gjedde Sommer:</t>
        </r>
        <r>
          <rPr>
            <sz val="9"/>
            <color indexed="81"/>
            <rFont val="Tahoma"/>
            <family val="2"/>
          </rPr>
          <t xml:space="preserve">
In title one barn is mentioned</t>
        </r>
      </text>
    </comment>
  </commentList>
</comments>
</file>

<file path=xl/comments2.xml><?xml version="1.0" encoding="utf-8"?>
<comments xmlns="http://schemas.openxmlformats.org/spreadsheetml/2006/main">
  <authors>
    <author>Sven Gjedde Sommer</author>
  </authors>
  <commentList>
    <comment ref="U8" authorId="0" shapeId="0">
      <text>
        <r>
          <rPr>
            <b/>
            <sz val="9"/>
            <color indexed="81"/>
            <rFont val="Tahoma"/>
            <family val="2"/>
          </rPr>
          <t>Sven Gjedde Sommer:</t>
        </r>
        <r>
          <rPr>
            <sz val="9"/>
            <color indexed="81"/>
            <rFont val="Tahoma"/>
            <family val="2"/>
          </rPr>
          <t xml:space="preserve">
From title of publication</t>
        </r>
      </text>
    </comment>
    <comment ref="H10" authorId="0" shapeId="0">
      <text>
        <r>
          <rPr>
            <b/>
            <sz val="9"/>
            <color indexed="81"/>
            <rFont val="Tahoma"/>
            <family val="2"/>
          </rPr>
          <t>Sven Gjedde Sommer:</t>
        </r>
        <r>
          <rPr>
            <sz val="9"/>
            <color indexed="81"/>
            <rFont val="Tahoma"/>
            <family val="2"/>
          </rPr>
          <t xml:space="preserve">
Guidebook
</t>
        </r>
      </text>
    </comment>
    <comment ref="M36" authorId="0" shapeId="0">
      <text>
        <r>
          <rPr>
            <b/>
            <sz val="9"/>
            <color indexed="81"/>
            <rFont val="Tahoma"/>
            <family val="2"/>
          </rPr>
          <t>Sven Gjedde Sommer:</t>
        </r>
        <r>
          <rPr>
            <sz val="9"/>
            <color indexed="81"/>
            <rFont val="Tahoma"/>
            <family val="2"/>
          </rPr>
          <t xml:space="preserve">
From Poulsen et al. 2017
</t>
        </r>
      </text>
    </comment>
  </commentList>
</comments>
</file>

<file path=xl/comments3.xml><?xml version="1.0" encoding="utf-8"?>
<comments xmlns="http://schemas.openxmlformats.org/spreadsheetml/2006/main">
  <authors>
    <author>Sven Gjedde Sommer</author>
  </authors>
  <commentList>
    <comment ref="F74" authorId="0" shapeId="0">
      <text>
        <r>
          <rPr>
            <b/>
            <sz val="9"/>
            <color indexed="81"/>
            <rFont val="Tahoma"/>
            <family val="2"/>
          </rPr>
          <t>Sven Gjedde Sommer:</t>
        </r>
        <r>
          <rPr>
            <sz val="9"/>
            <color indexed="81"/>
            <rFont val="Tahoma"/>
            <family val="2"/>
          </rPr>
          <t xml:space="preserve">
Like Finland
</t>
        </r>
      </text>
    </comment>
    <comment ref="F78" authorId="0" shapeId="0">
      <text>
        <r>
          <rPr>
            <b/>
            <sz val="9"/>
            <color indexed="81"/>
            <rFont val="Tahoma"/>
            <family val="2"/>
          </rPr>
          <t>Sven Gjedde Sommer:</t>
        </r>
        <r>
          <rPr>
            <sz val="9"/>
            <color indexed="81"/>
            <rFont val="Tahoma"/>
            <family val="2"/>
          </rPr>
          <t xml:space="preserve">
Like Finland
</t>
        </r>
      </text>
    </comment>
    <comment ref="F79" authorId="0" shapeId="0">
      <text>
        <r>
          <rPr>
            <b/>
            <sz val="9"/>
            <color indexed="81"/>
            <rFont val="Tahoma"/>
            <family val="2"/>
          </rPr>
          <t>Sven Gjedde Sommer:</t>
        </r>
        <r>
          <rPr>
            <sz val="9"/>
            <color indexed="81"/>
            <rFont val="Tahoma"/>
            <family val="2"/>
          </rPr>
          <t xml:space="preserve">
Like Finland
</t>
        </r>
      </text>
    </comment>
    <comment ref="F80" authorId="0" shapeId="0">
      <text>
        <r>
          <rPr>
            <b/>
            <sz val="9"/>
            <color indexed="81"/>
            <rFont val="Tahoma"/>
            <family val="2"/>
          </rPr>
          <t>Sven Gjedde Sommer:</t>
        </r>
        <r>
          <rPr>
            <sz val="9"/>
            <color indexed="81"/>
            <rFont val="Tahoma"/>
            <family val="2"/>
          </rPr>
          <t xml:space="preserve">
Like Finland
</t>
        </r>
      </text>
    </comment>
  </commentList>
</comments>
</file>

<file path=xl/comments4.xml><?xml version="1.0" encoding="utf-8"?>
<comments xmlns="http://schemas.openxmlformats.org/spreadsheetml/2006/main">
  <authors>
    <author>Sven Gjedde Sommer</author>
    <author>Jim Webb</author>
  </authors>
  <commentList>
    <comment ref="T6" authorId="0" shapeId="0">
      <text>
        <r>
          <rPr>
            <b/>
            <sz val="9"/>
            <color indexed="81"/>
            <rFont val="Tahoma"/>
            <family val="2"/>
          </rPr>
          <t>Sven Gjedde Sommer:</t>
        </r>
        <r>
          <rPr>
            <sz val="9"/>
            <color indexed="81"/>
            <rFont val="Tahoma"/>
            <family val="2"/>
          </rPr>
          <t xml:space="preserve">
Should division be with 0.6</t>
        </r>
      </text>
    </comment>
    <comment ref="T8" authorId="0" shapeId="0">
      <text>
        <r>
          <rPr>
            <b/>
            <sz val="9"/>
            <color indexed="81"/>
            <rFont val="Tahoma"/>
            <family val="2"/>
          </rPr>
          <t>Sven Gjedde Sommer:</t>
        </r>
        <r>
          <rPr>
            <sz val="9"/>
            <color indexed="81"/>
            <rFont val="Tahoma"/>
            <family val="2"/>
          </rPr>
          <t xml:space="preserve">
Division 0.6
</t>
        </r>
      </text>
    </comment>
    <comment ref="I10" authorId="1" shapeId="0">
      <text>
        <r>
          <rPr>
            <b/>
            <sz val="10"/>
            <color indexed="81"/>
            <rFont val="Tahoma"/>
            <family val="2"/>
          </rPr>
          <t>Jim Webb: g/day</t>
        </r>
        <r>
          <rPr>
            <sz val="10"/>
            <color indexed="81"/>
            <rFont val="Tahoma"/>
            <family val="2"/>
          </rPr>
          <t xml:space="preserve">
</t>
        </r>
      </text>
    </comment>
    <comment ref="N10" authorId="1" shapeId="0">
      <text>
        <r>
          <rPr>
            <b/>
            <sz val="10"/>
            <color indexed="81"/>
            <rFont val="Tahoma"/>
            <family val="2"/>
          </rPr>
          <t>Jim Webb: g/day</t>
        </r>
        <r>
          <rPr>
            <sz val="10"/>
            <color indexed="81"/>
            <rFont val="Tahoma"/>
            <family val="2"/>
          </rPr>
          <t xml:space="preserve">
</t>
        </r>
      </text>
    </comment>
    <comment ref="I19" authorId="1" shapeId="0">
      <text>
        <r>
          <rPr>
            <b/>
            <sz val="10"/>
            <color indexed="81"/>
            <rFont val="Tahoma"/>
            <family val="2"/>
          </rPr>
          <t>Jim Webb: g/day</t>
        </r>
        <r>
          <rPr>
            <sz val="10"/>
            <color indexed="81"/>
            <rFont val="Tahoma"/>
            <family val="2"/>
          </rPr>
          <t xml:space="preserve">
</t>
        </r>
      </text>
    </comment>
    <comment ref="N19" authorId="1" shapeId="0">
      <text>
        <r>
          <rPr>
            <b/>
            <sz val="10"/>
            <color indexed="81"/>
            <rFont val="Tahoma"/>
            <family val="2"/>
          </rPr>
          <t xml:space="preserve">Jim Webb: g/day
</t>
        </r>
        <r>
          <rPr>
            <sz val="10"/>
            <color indexed="81"/>
            <rFont val="Tahoma"/>
            <family val="2"/>
          </rPr>
          <t xml:space="preserve">
</t>
        </r>
      </text>
    </comment>
    <comment ref="Z31" authorId="1" shapeId="0">
      <text>
        <r>
          <rPr>
            <b/>
            <sz val="10"/>
            <color indexed="81"/>
            <rFont val="Tahoma"/>
            <family val="2"/>
          </rPr>
          <t xml:space="preserve">Jim Webb: scale model
</t>
        </r>
        <r>
          <rPr>
            <sz val="10"/>
            <color indexed="81"/>
            <rFont val="Tahoma"/>
            <family val="2"/>
          </rPr>
          <t xml:space="preserve">
</t>
        </r>
      </text>
    </comment>
  </commentList>
</comments>
</file>

<file path=xl/comments5.xml><?xml version="1.0" encoding="utf-8"?>
<comments xmlns="http://schemas.openxmlformats.org/spreadsheetml/2006/main">
  <authors>
    <author>Sven Gjedde Sommer</author>
  </authors>
  <commentList>
    <comment ref="P10" authorId="0" shapeId="0">
      <text>
        <r>
          <rPr>
            <b/>
            <sz val="9"/>
            <color indexed="81"/>
            <rFont val="Tahoma"/>
            <family val="2"/>
          </rPr>
          <t>Sven Gjedde Sommer:</t>
        </r>
        <r>
          <rPr>
            <sz val="9"/>
            <color indexed="81"/>
            <rFont val="Tahoma"/>
            <family val="2"/>
          </rPr>
          <t xml:space="preserve">
Data are from review I think we should present it as one barn, otherwise it will encompass many
</t>
        </r>
      </text>
    </comment>
    <comment ref="P22" authorId="0" shapeId="0">
      <text>
        <r>
          <rPr>
            <b/>
            <sz val="9"/>
            <color indexed="81"/>
            <rFont val="Tahoma"/>
            <family val="2"/>
          </rPr>
          <t>Sven Gjedde Sommer:</t>
        </r>
        <r>
          <rPr>
            <sz val="9"/>
            <color indexed="81"/>
            <rFont val="Tahoma"/>
            <family val="2"/>
          </rPr>
          <t xml:space="preserve">
Assumption</t>
        </r>
      </text>
    </comment>
  </commentList>
</comments>
</file>

<file path=xl/sharedStrings.xml><?xml version="1.0" encoding="utf-8"?>
<sst xmlns="http://schemas.openxmlformats.org/spreadsheetml/2006/main" count="1174" uniqueCount="459">
  <si>
    <t>Gestating sows</t>
  </si>
  <si>
    <t>Weaned pigs</t>
  </si>
  <si>
    <t>Fattening pigs</t>
  </si>
  <si>
    <t>Litter</t>
  </si>
  <si>
    <t>Straw</t>
  </si>
  <si>
    <t>Sawdust</t>
  </si>
  <si>
    <t>ND</t>
  </si>
  <si>
    <t>2.16</t>
  </si>
  <si>
    <t>NH3 (g LU−1 day−1)</t>
  </si>
  <si>
    <t>Gilespy et al. 2009</t>
  </si>
  <si>
    <t>%TAN-excreted</t>
  </si>
  <si>
    <t>%N-excreted</t>
  </si>
  <si>
    <t>Ref</t>
  </si>
  <si>
    <t>Litter kg cattle-1 d-1</t>
  </si>
  <si>
    <t>Cattle</t>
  </si>
  <si>
    <t>Small</t>
  </si>
  <si>
    <t>Large</t>
  </si>
  <si>
    <t>N-unaccounted, % Ntot</t>
  </si>
  <si>
    <t>Straw partly, feeding area</t>
  </si>
  <si>
    <t>Straw full, feeding area</t>
  </si>
  <si>
    <t>Phillip et al. 2013</t>
  </si>
  <si>
    <t>Excretion</t>
  </si>
  <si>
    <t>Slat</t>
  </si>
  <si>
    <t>15% &amp; 2.5%</t>
  </si>
  <si>
    <t>kg/(d*animal)</t>
  </si>
  <si>
    <t>TAN, g/(d*pig)</t>
  </si>
  <si>
    <t>Total-N, g/(d*pig)</t>
  </si>
  <si>
    <t>NH3 %TAN-excreted</t>
  </si>
  <si>
    <t>Layer house</t>
  </si>
  <si>
    <t xml:space="preserve">Cage, </t>
  </si>
  <si>
    <t>Broiler</t>
  </si>
  <si>
    <t>Cage+manure belt</t>
  </si>
  <si>
    <t>AU</t>
  </si>
  <si>
    <t>Philippe et al. 2011b</t>
  </si>
  <si>
    <t>Emission pct. Calculated in percent of N excreted</t>
  </si>
  <si>
    <t>Cabaraux et al. (2009)</t>
  </si>
  <si>
    <t>Balsdon et al. (2000)</t>
  </si>
  <si>
    <t>Kermarrec and Robin (2002)</t>
  </si>
  <si>
    <t>Kavolelis (2006)</t>
  </si>
  <si>
    <t>Philippe et al. (2007)</t>
  </si>
  <si>
    <t>Manure belt</t>
  </si>
  <si>
    <t>Caged</t>
  </si>
  <si>
    <t>37 %, plastic</t>
  </si>
  <si>
    <t>37%, plastic</t>
  </si>
  <si>
    <t>Balsdon et al. (2000) - Data retrieved from Philippe et al. (2011a)</t>
  </si>
  <si>
    <t>Nicks et al. (2004) From abstract</t>
  </si>
  <si>
    <t>Nicks et al. (2003)</t>
  </si>
  <si>
    <t>Kermarrec and Robin (2002) - from abstract</t>
  </si>
  <si>
    <t>Dairy cow</t>
  </si>
  <si>
    <t>Tied</t>
  </si>
  <si>
    <t>Slatted floor, insulated</t>
  </si>
  <si>
    <t>Slated floor, uninsolated</t>
  </si>
  <si>
    <t>Kavolelis (2006) from abstract</t>
  </si>
  <si>
    <t>Low N in feed</t>
  </si>
  <si>
    <t>High N in feed</t>
  </si>
  <si>
    <t>Sawdist</t>
  </si>
  <si>
    <t>Edouard et al. (2016)</t>
  </si>
  <si>
    <t>litter</t>
  </si>
  <si>
    <t>Total N inexcreta, g animal-1 day-1</t>
  </si>
  <si>
    <t>Aviary house low removal frequence</t>
  </si>
  <si>
    <t>Broiler (Winter)</t>
  </si>
  <si>
    <t>AU = 500 kg animal</t>
  </si>
  <si>
    <t>Nicholson et al. (2004)</t>
  </si>
  <si>
    <t>Woodshavings)</t>
  </si>
  <si>
    <t>Manure belt, weekly remove</t>
  </si>
  <si>
    <t>Manure belt, daily remove</t>
  </si>
  <si>
    <t>Deep pit</t>
  </si>
  <si>
    <t>Summer</t>
  </si>
  <si>
    <t>Winter</t>
  </si>
  <si>
    <t>Year (Ave)</t>
  </si>
  <si>
    <t>NH3 emission</t>
  </si>
  <si>
    <t>South Korea</t>
  </si>
  <si>
    <t>Alberdi et al. (2016)</t>
  </si>
  <si>
    <t xml:space="preserve">NH3 </t>
  </si>
  <si>
    <t>(g m−2 day−1)</t>
  </si>
  <si>
    <t>(g LU-1 day-1 or AU−1 day−1)</t>
  </si>
  <si>
    <t>Pereira (2017)</t>
  </si>
  <si>
    <t>Rice hulls, Winter</t>
  </si>
  <si>
    <t>NH3</t>
  </si>
  <si>
    <t>g m−2 day−1</t>
  </si>
  <si>
    <t>g cattle−1 day−1</t>
  </si>
  <si>
    <t>g LU−1 day−1</t>
  </si>
  <si>
    <t>%N</t>
  </si>
  <si>
    <t>Cattle no dairy</t>
  </si>
  <si>
    <t>Scraping to slurry pit</t>
  </si>
  <si>
    <t>Dore et al. (2004)</t>
  </si>
  <si>
    <t>Dry sow house</t>
  </si>
  <si>
    <t xml:space="preserve">Straw </t>
  </si>
  <si>
    <t xml:space="preserve"> kg pig-1 d-1</t>
  </si>
  <si>
    <t>g pig−1 day−1</t>
  </si>
  <si>
    <t>England</t>
  </si>
  <si>
    <t>Cage and manure belt</t>
  </si>
  <si>
    <t>Year ave'</t>
  </si>
  <si>
    <t>One chicken weight 1.55 kg</t>
  </si>
  <si>
    <t>Deep pit liquid</t>
  </si>
  <si>
    <t>g poultry-1 year-1</t>
  </si>
  <si>
    <t>Cage belt natural drying</t>
  </si>
  <si>
    <t>Cage belt forced drying</t>
  </si>
  <si>
    <t>Manure belt standard removal</t>
  </si>
  <si>
    <t>Manure belt daily or twice a week removal</t>
  </si>
  <si>
    <t>Nimmark et al. (2009)</t>
  </si>
  <si>
    <t>Layer</t>
  </si>
  <si>
    <t>Spain</t>
  </si>
  <si>
    <t>Canada</t>
  </si>
  <si>
    <t>USA</t>
  </si>
  <si>
    <t>Portugal</t>
  </si>
  <si>
    <t>France</t>
  </si>
  <si>
    <t>Belgium</t>
  </si>
  <si>
    <t>Poland</t>
  </si>
  <si>
    <t>China</t>
  </si>
  <si>
    <t>Excretion Velthof</t>
  </si>
  <si>
    <t>Country</t>
  </si>
  <si>
    <t xml:space="preserve">Velthof et al. </t>
  </si>
  <si>
    <t>Multilevel system, weekly remove scraping</t>
  </si>
  <si>
    <t>All year</t>
  </si>
  <si>
    <t>Denmark</t>
  </si>
  <si>
    <t>35% slatted floor</t>
  </si>
  <si>
    <t>(g pig−1 day−1)</t>
  </si>
  <si>
    <t xml:space="preserve"> (g m−2 day−1)</t>
  </si>
  <si>
    <t>NH3 (</t>
  </si>
  <si>
    <t>g LU−1 day−1)</t>
  </si>
  <si>
    <t>NH3 ()</t>
  </si>
  <si>
    <t>Ransbeeck et al. 2013</t>
  </si>
  <si>
    <t>Winter and Summer</t>
  </si>
  <si>
    <t>Fully slatted floor</t>
  </si>
  <si>
    <t>Partly slatted</t>
  </si>
  <si>
    <t>Sweden</t>
  </si>
  <si>
    <t>g HPU-1 d-1</t>
  </si>
  <si>
    <t>Slatted floor</t>
  </si>
  <si>
    <t>winter - summer</t>
  </si>
  <si>
    <t>Rong et al. (2014)</t>
  </si>
  <si>
    <t>Philippe et al. (2012)</t>
  </si>
  <si>
    <t>Straw-flow</t>
  </si>
  <si>
    <t>Straw-deep litter</t>
  </si>
  <si>
    <t>Partly slatted floor</t>
  </si>
  <si>
    <t>summer and winter</t>
  </si>
  <si>
    <t>Gestation sows</t>
  </si>
  <si>
    <t>Philippe et al. (2015)</t>
  </si>
  <si>
    <t>Slatted floor - High fiber</t>
  </si>
  <si>
    <t>Slatted floor control</t>
  </si>
  <si>
    <t xml:space="preserve">Dairy cow </t>
  </si>
  <si>
    <t>Deep litter</t>
  </si>
  <si>
    <t>The Netherland</t>
  </si>
  <si>
    <t>g cattle-1 year-1</t>
  </si>
  <si>
    <t>straw</t>
  </si>
  <si>
    <t>d</t>
  </si>
  <si>
    <t>Mosquera et al. 2006</t>
  </si>
  <si>
    <t>Germany</t>
  </si>
  <si>
    <t xml:space="preserve">Scraping </t>
  </si>
  <si>
    <t xml:space="preserve">Winter </t>
  </si>
  <si>
    <t>Scraping</t>
  </si>
  <si>
    <t>Snell et al. 2003</t>
  </si>
  <si>
    <t xml:space="preserve">Dairy cow  </t>
  </si>
  <si>
    <t>LU=500kg</t>
  </si>
  <si>
    <t>Ngwabie et al. (2014)</t>
  </si>
  <si>
    <t>Spring faall</t>
  </si>
  <si>
    <t>Scraper</t>
  </si>
  <si>
    <t>Saha et al. (2014)</t>
  </si>
  <si>
    <t>Xu et al (2014)</t>
  </si>
  <si>
    <t>Fattening pigs (Breeding)</t>
  </si>
  <si>
    <t>Winter and summer</t>
  </si>
  <si>
    <t>Bedding peat, scraper</t>
  </si>
  <si>
    <t>gN LU-1 d-1</t>
  </si>
  <si>
    <t>Winter spring</t>
  </si>
  <si>
    <t>Ngwabie et al. (2011b)</t>
  </si>
  <si>
    <t>Ngwabie et al. (2009)</t>
  </si>
  <si>
    <t>Winter spring early summer</t>
  </si>
  <si>
    <t>Deep litter sawdusr</t>
  </si>
  <si>
    <t>Kaasik et al. (2004)</t>
  </si>
  <si>
    <t>Gustafson et al. (2005)</t>
  </si>
  <si>
    <t>Tied , scrapers and gutter</t>
  </si>
  <si>
    <t>EU average</t>
  </si>
  <si>
    <t>EU</t>
  </si>
  <si>
    <t>winter summer</t>
  </si>
  <si>
    <t>Beef cattle</t>
  </si>
  <si>
    <t>Slats</t>
  </si>
  <si>
    <t>Calves</t>
  </si>
  <si>
    <t xml:space="preserve">Beef </t>
  </si>
  <si>
    <t>Sows</t>
  </si>
  <si>
    <t>EU data</t>
  </si>
  <si>
    <t>slats</t>
  </si>
  <si>
    <t>Groot Koerkamp et al. 1998b</t>
  </si>
  <si>
    <t>Litter part</t>
  </si>
  <si>
    <t>Broilers</t>
  </si>
  <si>
    <t>Summer and winter</t>
  </si>
  <si>
    <t>Fatening pigs</t>
  </si>
  <si>
    <t>Web et al. 2012</t>
  </si>
  <si>
    <t>Litter straw</t>
  </si>
  <si>
    <t>Austria</t>
  </si>
  <si>
    <t>Amon et al. See Webb et al. 2012</t>
  </si>
  <si>
    <t>Cage and manure belt, enriched colony</t>
  </si>
  <si>
    <t>Cage and manure belt, Conventional</t>
  </si>
  <si>
    <t>EUROSTAT, LU</t>
  </si>
  <si>
    <t>heads/LU</t>
  </si>
  <si>
    <t>Article, LU</t>
  </si>
  <si>
    <t>Heads/LU</t>
  </si>
  <si>
    <t>kg N/(head*year)</t>
  </si>
  <si>
    <t>Article</t>
  </si>
  <si>
    <t>TAN in pct of Ntot</t>
  </si>
  <si>
    <t>Guidebook</t>
  </si>
  <si>
    <t>Article Excretion</t>
  </si>
  <si>
    <t>Fermented rice straw&amp;bran saw chavings</t>
  </si>
  <si>
    <t>Saw chavings</t>
  </si>
  <si>
    <t>Wood shavings</t>
  </si>
  <si>
    <t xml:space="preserve"> (g LU−1 day−1)</t>
  </si>
  <si>
    <t>g Total-N/(pig*d)</t>
  </si>
  <si>
    <t xml:space="preserve">Slatted floor </t>
  </si>
  <si>
    <t>Groot Koerkamp 1998b</t>
  </si>
  <si>
    <t>article yellow estimated</t>
  </si>
  <si>
    <t>Zong et al. (2015)</t>
  </si>
  <si>
    <t>SD</t>
  </si>
  <si>
    <t>Ave</t>
  </si>
  <si>
    <t>Excretion Velthof or guidebook(comment guidebook)</t>
  </si>
  <si>
    <t>NH3 % N-excreted</t>
  </si>
  <si>
    <t>Blanes-Vidal et al. (2008)</t>
  </si>
  <si>
    <t>Van Ransbeeck  et al. (2013)</t>
  </si>
  <si>
    <t>Philippe et al. (2016)</t>
  </si>
  <si>
    <t>Groot Koerkamp et al. (1998b)</t>
  </si>
  <si>
    <t>Ngwabie et al. (2011a)</t>
  </si>
  <si>
    <t>ADVIENTO-BORBE et al. (2010)</t>
  </si>
  <si>
    <t>Groot Koerkamp et al. (1998)</t>
  </si>
  <si>
    <t>TAN fraction of Ntot</t>
  </si>
  <si>
    <t>From abstract not used</t>
  </si>
  <si>
    <t>Ireland</t>
  </si>
  <si>
    <t>Spring</t>
  </si>
  <si>
    <t>AU=500 kg</t>
  </si>
  <si>
    <t>Velthof (Yellow)</t>
  </si>
  <si>
    <t>Web et al. (2012)</t>
  </si>
  <si>
    <t>EUROSTAT , LU</t>
  </si>
  <si>
    <t>Amon et al. (2001)</t>
  </si>
  <si>
    <t>Amon et al.(2001)</t>
  </si>
  <si>
    <t>TAN as a fraction of N-total</t>
  </si>
  <si>
    <t>N, g/(d*cattle)</t>
  </si>
  <si>
    <t>Excretion (Velthof yellow)</t>
  </si>
  <si>
    <t>Promblems with conversion from HPU</t>
  </si>
  <si>
    <t>LU=500 kg, problems with conversin to %of TAN</t>
  </si>
  <si>
    <t>- Data from Amon et al. (2001)</t>
  </si>
  <si>
    <t xml:space="preserve">Oldenburg (1989) </t>
  </si>
  <si>
    <t xml:space="preserve">Kavolelis (2006) </t>
  </si>
  <si>
    <t>from abstract</t>
  </si>
  <si>
    <t>Current</t>
  </si>
  <si>
    <t>%TAN</t>
  </si>
  <si>
    <t>N Excr</t>
  </si>
  <si>
    <t>TAN excr</t>
  </si>
  <si>
    <t>Season</t>
  </si>
  <si>
    <t>Ann Em</t>
  </si>
  <si>
    <t>Kg N/year</t>
  </si>
  <si>
    <t>kg NH3-H/Y</t>
  </si>
  <si>
    <t>Bel</t>
  </si>
  <si>
    <t>Gest sows</t>
  </si>
  <si>
    <t>Slurry</t>
  </si>
  <si>
    <t>NA</t>
  </si>
  <si>
    <t>Hayes 2006</t>
  </si>
  <si>
    <t>Ire</t>
  </si>
  <si>
    <t>13C</t>
  </si>
  <si>
    <t>Lact sows</t>
  </si>
  <si>
    <t>Fra</t>
  </si>
  <si>
    <t>Weaners</t>
  </si>
  <si>
    <t xml:space="preserve">Ire </t>
  </si>
  <si>
    <t>Finishers</t>
  </si>
  <si>
    <t>Tot kg</t>
  </si>
  <si>
    <t>Dekock 2009</t>
  </si>
  <si>
    <t>Indoor</t>
  </si>
  <si>
    <t>Full slat</t>
  </si>
  <si>
    <t>Ger</t>
  </si>
  <si>
    <t>Korea</t>
  </si>
  <si>
    <t>17C</t>
  </si>
  <si>
    <t>straw/saw</t>
  </si>
  <si>
    <t>Blunden 2008</t>
  </si>
  <si>
    <t>US</t>
  </si>
  <si>
    <t>Ave - 13C</t>
  </si>
  <si>
    <t>At</t>
  </si>
  <si>
    <t>Amon 2008</t>
  </si>
  <si>
    <t>12 h</t>
  </si>
  <si>
    <t>Philippe et al., 2006</t>
  </si>
  <si>
    <t>Fabbri 2002</t>
  </si>
  <si>
    <t>Italy</t>
  </si>
  <si>
    <t>Part slat</t>
  </si>
  <si>
    <t>Animal cat.</t>
  </si>
  <si>
    <t>Sven used the emission in pct. Of excreted N given by authors to calculate EF</t>
  </si>
  <si>
    <t>Category</t>
  </si>
  <si>
    <t>Dairy cattle</t>
  </si>
  <si>
    <t>g/LU/h</t>
  </si>
  <si>
    <t>Swe</t>
  </si>
  <si>
    <t>winter</t>
  </si>
  <si>
    <t>summer</t>
  </si>
  <si>
    <t>Fiedler, Muller, 2011</t>
  </si>
  <si>
    <t>Por</t>
  </si>
  <si>
    <t>Pereira et al., 2011</t>
  </si>
  <si>
    <t>annual</t>
  </si>
  <si>
    <t>Pereira et al., 2010</t>
  </si>
  <si>
    <t>CH</t>
  </si>
  <si>
    <t xml:space="preserve">Schrade et al., 2010 </t>
  </si>
  <si>
    <t>g NH3 cow d</t>
  </si>
  <si>
    <t>Mukthar, et al., 2009</t>
  </si>
  <si>
    <t>Ngwabie et al., 2009</t>
  </si>
  <si>
    <t>N/185 cows/d</t>
  </si>
  <si>
    <t>Rumburg et al., 2008</t>
  </si>
  <si>
    <t>Fin</t>
  </si>
  <si>
    <t>min</t>
  </si>
  <si>
    <t>Teye and Hautala, 2008</t>
  </si>
  <si>
    <t>max</t>
  </si>
  <si>
    <t>Slurry, scraped hourly</t>
  </si>
  <si>
    <t>Slurry, flushed*4</t>
  </si>
  <si>
    <t>Excretion, Webb</t>
  </si>
  <si>
    <t>N-tot, g N/(d*cattle)</t>
  </si>
  <si>
    <t>TAN, g N/(d*cattle)</t>
  </si>
  <si>
    <t>Special unit</t>
  </si>
  <si>
    <t>TAN, g N/D</t>
  </si>
  <si>
    <t>Layers</t>
  </si>
  <si>
    <t>Belt dried and removed</t>
  </si>
  <si>
    <t>Nl</t>
  </si>
  <si>
    <t>Dekker 2011</t>
  </si>
  <si>
    <t>Floor housing</t>
  </si>
  <si>
    <t>Nor</t>
  </si>
  <si>
    <t>Multilevel system</t>
  </si>
  <si>
    <t>Furnished cages</t>
  </si>
  <si>
    <t>It</t>
  </si>
  <si>
    <t>Fabbri 2007</t>
  </si>
  <si>
    <t>Belt removed</t>
  </si>
  <si>
    <t>Calvet 2011</t>
  </si>
  <si>
    <t>Year</t>
  </si>
  <si>
    <t>Czeck</t>
  </si>
  <si>
    <t>Knitzatov 2011</t>
  </si>
  <si>
    <t>Winter 1 cycle</t>
  </si>
  <si>
    <t>System</t>
  </si>
  <si>
    <t xml:space="preserve"> NH3 g/(d*bd)</t>
  </si>
  <si>
    <t>year</t>
  </si>
  <si>
    <t>Turkeys</t>
  </si>
  <si>
    <t>Kg NH3-N/(poultry*Y)</t>
  </si>
  <si>
    <t>kg Ntot/(poultry*Y)</t>
  </si>
  <si>
    <t>% N-total</t>
  </si>
  <si>
    <t>Current GB</t>
  </si>
  <si>
    <t>JW</t>
  </si>
  <si>
    <t>g NH3 /LU/h</t>
  </si>
  <si>
    <t>NH3-N</t>
  </si>
  <si>
    <t>g NH3/LU/d</t>
  </si>
  <si>
    <t>Used for Guidebook EF</t>
  </si>
  <si>
    <t>Not used building was scraped ourly</t>
  </si>
  <si>
    <t>Not used: measurements carried out at a scale model of 1 m2</t>
  </si>
  <si>
    <t>Not used: Building was fluxhed every 4 h</t>
  </si>
  <si>
    <t>Not used: Peat was used in the building a special case</t>
  </si>
  <si>
    <t>Not used special case</t>
  </si>
  <si>
    <t>Comments</t>
  </si>
  <si>
    <t>NH3 emis</t>
  </si>
  <si>
    <t>Used: standard straw addition</t>
  </si>
  <si>
    <t>Not used: Non standard straw addition</t>
  </si>
  <si>
    <t>Not used excretion mis calculation large cattle</t>
  </si>
  <si>
    <t>Excretion data from article</t>
  </si>
  <si>
    <t>Not used Data collected from abstract</t>
  </si>
  <si>
    <t>Not used Korean pig production systems may differ from EU systems</t>
  </si>
  <si>
    <t>Not used: Problems with calculating excreta production</t>
  </si>
  <si>
    <t>Broiler+A51:Y52</t>
  </si>
  <si>
    <t>Median</t>
  </si>
  <si>
    <t>Av</t>
  </si>
  <si>
    <t>NOT USED</t>
  </si>
  <si>
    <t>Not used Data collected from review in an article</t>
  </si>
  <si>
    <t>Winter av</t>
  </si>
  <si>
    <t>Summer av</t>
  </si>
  <si>
    <t>Weighted ave.</t>
  </si>
  <si>
    <t>Cattle outdoor summer</t>
  </si>
  <si>
    <t>Controlled env. High temp</t>
  </si>
  <si>
    <t>Averager of winter and summer (Outdoor grazing)</t>
  </si>
  <si>
    <t>Scraping to pit</t>
  </si>
  <si>
    <t>Paper</t>
  </si>
  <si>
    <t>Number of buildings measured</t>
  </si>
  <si>
    <t>Weighted mean</t>
  </si>
  <si>
    <t>Maaksimeets et al. 2015</t>
  </si>
  <si>
    <t>throughout yr</t>
  </si>
  <si>
    <t>Estonia</t>
  </si>
  <si>
    <t>No of buildings</t>
  </si>
  <si>
    <t>% of TAN</t>
  </si>
  <si>
    <t>Hayes et al. (2006)</t>
  </si>
  <si>
    <t>Hayes et al. 2006</t>
  </si>
  <si>
    <t>Mean</t>
  </si>
  <si>
    <t>Weighted m</t>
  </si>
  <si>
    <t>Reference</t>
  </si>
  <si>
    <t>All Pigs &gt;8kg</t>
  </si>
  <si>
    <t>NOT USED, conditions not similar to those in EU</t>
  </si>
  <si>
    <t xml:space="preserve">(mg poultry−1 day−1) </t>
  </si>
  <si>
    <t>Animal category</t>
  </si>
  <si>
    <t>Slurry removal system</t>
  </si>
  <si>
    <t>MEDIAN(V3:V32,V52,V54)</t>
  </si>
  <si>
    <t>AVERAGE(V3:V32,V52,V54)</t>
  </si>
  <si>
    <t>STDEV(V3:V32,V52,V54)</t>
  </si>
  <si>
    <t>VERAGE(V17:V26)</t>
  </si>
  <si>
    <t>AVERAGE(V12:V16)</t>
  </si>
  <si>
    <t>((V36*3)+((V36/2)+(V37/2))*3)/6</t>
  </si>
  <si>
    <t>SUM(V3:V32,V52,V54)</t>
  </si>
  <si>
    <t>Not included in calculations too few measurements</t>
  </si>
  <si>
    <t>Below is calculated a weighted average taking outdoor grazing into account</t>
  </si>
  <si>
    <t>References</t>
  </si>
  <si>
    <t>Livestock category</t>
  </si>
  <si>
    <t>ADVIENTO-BORBE M.A.A., WHEELER E.F., BROWN N.E., TOPPER P.A., GRAVE, R.E., ISHLER V.A., VARGA G.A. Ammonia and greenhouse gas flux from manure in freestall barn with dairy cows on precision fed rations. Transactions of the ASABE 53 (4), 1251, 2010.</t>
  </si>
  <si>
    <t>Alberdi O., Arriaga H., Calvet S., Estellès F., Merino P. 2016 Ammonia and greenhouse gas emissions from an enriched cage laying hen facility. Biosystems Engineering 144, 1-12.</t>
  </si>
  <si>
    <t>Amon B, Kryvoruchko V, Fröhlich M, Amon T, Pöllinger A, Mösenbacher I, Hausleitner A, 2007. Ammonia and greenhouse gas emissions from a straw flow system for fattening pigs: Housing and manure storage. Livestock Science 112, 199–207.</t>
  </si>
  <si>
    <t>Amon B., Amon T., Boxberger J., Alt C. 2001. Emissions of NH3, N2O and CH4 from dairy cows housed in a farmyard manure tying stall (housing, manure storage, manure spreading). Nutrient Cycling in Agroecosystems. 60, 103-113.DOI: 10.1023/A:1012649028772</t>
  </si>
  <si>
    <t>Balsdon, S.L., Williams, J.R., Southwood, N.J., Chadwick, D.R., Pain, B.F., Chambers, B.J., 2000. Ammonia fluxes from solid and liquid manure management systems for beef cattle and pigs. In: Sangiorgi, F. (Ed.), Proceedings of the 9th International Conference on the FAO ESCORENA Network on Recycling of Agricultural, Municipal and Industrial Residues in Agriculture. Gargano, Italy, 6–9 September. 115–120 (Data found in Philippe et al. 2011a).</t>
  </si>
  <si>
    <t>Blanes-Vidal V., Hansen M.N., Pedersen S., Rom H.B. 2008. Emissions of ammonia, methane and nitrous oxide from pig houses and slurry: Effects of rooting material, livestock activity and ventilation flow. Agriculture, Ecosystems and Environment 124, 237.</t>
  </si>
  <si>
    <t>Cabaraux, J.F., Philippe, F.X., Laitat, M., Canart, B., Vandenheede, M., Nicks, B., 2009. Gaseous emissions from weaned pigs raised on different floor systems. Agriculture Ecosystems &amp; Environment 130, 86–92.</t>
  </si>
  <si>
    <t>Calvet, S., Cambra-López, M., Estellés, F., Torres, A.G. 2011. Characterization of gas emissions from a Mediterranean broiler farm. Poultry Science 90, 534-542.</t>
  </si>
  <si>
    <t>Dekker, S.E.M., Aarnink, A.J.A., de Boer, I.J.M., Groot Koerkamp, P.W.G. 2011. Emissions of ammonia, nitrous oxide, and methane from aviaries with organic laying hen husbandry. Biosystems Engineering 110, 123-2133.</t>
  </si>
  <si>
    <t>Dekock J, Vranken E, Gallmann E, Hartung E, Berckmans D. 2009. Optimisation and validation of the intermittent measurement method to determine ammonia emissions from livestock buildings. Biosystems Engineering 104, 396 – 403.</t>
  </si>
  <si>
    <t>Dore  C.J. , Jones B.M.R., Scholtens R., in't Veld J.W.H.H. , Burgess L.R., Phillips V.R. 2004. Measuring ammonia emission rates from livestock buildings and manure stores - part 2: Comparative demonstrations of three methods on the farm. Atmospheric Environment. 38, 3017-3024. DOI: 10.1016/j.atmosenv.2004.02.031</t>
  </si>
  <si>
    <t>Edouard, N.; Hassouna, M.; Robin, P.; et al. 2016. Low degradable protein supply to increase nitrogen efficiency in lactating dairy cows and reduce environmental impacts at barn level   LIVESTOCK Volume:  10    Issue:  2    Pages:  212-220    Published:  FEB 2016</t>
  </si>
  <si>
    <t>Fabbri C, Valli L, Bonazzi G, 2002. Ammonia emissions from two different flooring systems for heavy pigs. pp. 267-271 In: Proceedings of the 10th International Conference of the RAMIRAN network, (Venglovský, J., Gréserová, G., Eds), May 14-18, Štrbské Pleso, Slovak Republic.</t>
  </si>
  <si>
    <t>Fabbri, C., Valli, L. Guarino, M., Mazzotta, V. 2007. Ammonia, methane, nitrous oxide and particulate matter emissions in two different buildings for laying hens. Biosystems Engineering 97, 441-455.</t>
  </si>
  <si>
    <t>Fiedler, A.M., Müller, H.-J. 2011. Emissions of ammonia and methane from a livestock building natural cross ventilation. Meteorologische Zeitschrift 20, 059-065.</t>
  </si>
  <si>
    <t>Groot Koerkamp P, Metz J, Uenk G, Phillips V, Holden M, Sneath R, Short J, White R, Hartung J and Seedorf J. 1998. Concentrations and emissions of ammonia in livestock buildings in Northern Europe. J Agric Eng Res; 70: 79–95.</t>
  </si>
  <si>
    <t>Groot Koerkamp P. W. G. ; Speelman L.; Metz J. H. M. 1999b. Litter Composition and Ammonia Emission in Aviary Houses for Laying Hens: Part II, Modelling the Evaporation of Water. J. Agric. Engng Res.. 73, 353-362</t>
  </si>
  <si>
    <t>Groot Koerkamp P. W. G., Speelman L., Metz J. H. M. 1998a. Litter Composition and Ammonia Emission in Aviary Houses for Laying Hens. Part 1: Performance of a Litter Drying System. J. agric. Engng Res. 70, 375Ð382</t>
  </si>
  <si>
    <t>Groot Koerkamp P.W.G. 1994. Review on emissions of ammonia from housing systems for laying hens in relation to sources, processes, building design and manure handling. J. Agric. Res. 59, 73–87.</t>
  </si>
  <si>
    <t>Groot Koerkamp, P.W.G., Metz, J.H.M., Uenk, G.H., Phillips, V.R., Holden, M.R., Sneath, R.W., Short, J.L., White, R.P., Hartung, J., Seedorf, J., Schröder, M., Linkert, K.H.,Pedersen, S., Takai, H., Johnsen, J.O., and Wathes, C.M. 1998b. Concentrations and emissions of ammonia in livestock buildings in Northern Europe. Journal of agricultural Engineering Research, 70, 79-95.</t>
  </si>
  <si>
    <t>Guingand N. 2003. Air quality and reduction of slatted floor in growing-finishing pig units. In Proc. International Symposium on Gaseous and Odour Emissions from Animal Production Facilities. Horsens. June 1st-4th. Denmark: 80-87.</t>
  </si>
  <si>
    <t>Guiziou F, Beline F. 2005. In situ measurement of ammonia and greenhouse gas emissions from broiler houses in France. Bioresource Technology 96, 203–207.</t>
  </si>
  <si>
    <t>Hayes E.T., Curran T.P., Dodd V.A. 2006. Odour and ammonia emissions from intensive poultry units in Ireland. Bioresource Technology 97, 933–939.</t>
  </si>
  <si>
    <t>Kaasik A; Leming R; Remmel T (2002). Nutrient losses (N, P, K) in dairy- and pig production. Agraarteadus, 13(4), 201–211,(Data from Ngwabie et al. 2009)</t>
  </si>
  <si>
    <t>Kavolelis, B., 2006. Impact of livestock housing systems on ammonia emission rates. Polish Journal of Environmental Studies 15, 739–745.</t>
  </si>
  <si>
    <t>Kermarrec, C., Robin, P., 2002. Nitrogenous gas emissions during the rearing of pigs on sawdust litter. Journées de la Recherche Porcine 34, 155–160.</t>
  </si>
  <si>
    <t>Ngwabie N.M., Jeppsson K-H, Gustafsson G. Nimmark S. 2011b. Effects of livestock activity and air temperature on methane and ammonia emissions from a naturally ventilated building for dairy cows. Atmospheric Environment 45, 6760-6768.</t>
  </si>
  <si>
    <t>Ngwabie N.M., Jeppsson K-H, Nimmark S., Gustafsson G. 2011a. Effects of livestock and climate parameters on gas emissions from a barn for fattening pigs. Applied Engineering in Agriculture 27, 1027, 2011a (From abstract and from PhD thesis of Ngwabie N.M. )</t>
  </si>
  <si>
    <t>Ngwabie N.M., Jeppsson K-H, Nimmark S., Swensson C., Gustafsson G. 2009.Multilocation measurements of greenhouse gases and emission rates of methane and ammonia from a naturally-ventilated barn for dairy cows. Biosystems Engineering 103, 68, 2009</t>
  </si>
  <si>
    <t xml:space="preserve">Ngwabie N.M., Vanderzaag A., Jayasundara S., Wagner-Riddle C. 2014. Measurements of emission factors from a naturally ventilated commercial barn for dairy cows in a cold climate. Biosystems Engineering 127, 103. </t>
  </si>
  <si>
    <t>Nicholson F, Chambers B and Walker A. 2004. Ammonia emissions from broiler litter and laying hen manure management systems. Biosys Eng; 89: 175–185.</t>
  </si>
  <si>
    <t>Nicks B, Laitat M, Farnir F, Vandenheede M, Désiron A, Verhaeghe C, Canart B. 2004. Gaseous emissions from deep-litter pens with straw or sawdust for fattening pigs. Animal Science 78, 99-107.</t>
  </si>
  <si>
    <t>Nicks B, Laitat M., Vanderheede M., Désiron A., Verhaege C., Canart B. 2003. Emissions of ammonia, nitrous oxide, methane, carbon dioxide and water vapor in the raising of weaned pigs on straw-based and sawdust-based deep litters. Anim. Res. 52, 299–308</t>
  </si>
  <si>
    <t>Oldenburg J (1989) Geruchs- und Ammoniak-Emissionen aus der Tierhaltung. KTBL-Schrift 333, Kuratorium für Landtechnik und Bauwesen in der Landwirtschaft e.V., Darmstadt (Data from Amon et al. 2001)</t>
  </si>
  <si>
    <t>Pereira, J., Fangueiro D., Misselbrook, T. H., Chadwick, D. R., Coutinho, J., &amp; Trindade, H. (2011). Ammonia and greenhouse gas emissions from slatted and solid floors in dairy cattle houses: A scale model study. Biosystems Engineering, 109, 148-157.</t>
  </si>
  <si>
    <t>Pereira, J., Misselbrook, T. H., Chadwick, D. R., Coutinho, J., &amp; Trindade, H. (2010). Ammonia emissions from naturally ventilated dairy cattle buildings and outdoor concrete yards in Portugal. Atmospheric Environment, 44, 3413-3421.</t>
  </si>
  <si>
    <t>Philippe F-X, Laitat M, Canart B, Farnir F, Massart L, Vandenheede M, Nicks B, 2006. Effects of a reduction of diet crude protein content on gaseous emissions from deep-litter pens for fattening pigs. Anim. Res. 55, 397–407.</t>
  </si>
  <si>
    <t>Philippe F-X, Laitat M, Canart B, Vandenheede M, Nicks B, 2007. Comparison of ammonia and greenhouse gas emissions during the fattening of pigs, kept either on fully slatted floor or on deep litter. Livestock Science 111, 144–152.</t>
  </si>
  <si>
    <t>Philippe, F.X., Laitat. M., Nicks, B. Cabaraux, J.F. 2012. Ammonia and greenhouse gas emissions during the fattening of pigs kept on two types of straw floor. Agriculture, Ecosystems and Environment 150, 45-53.</t>
  </si>
  <si>
    <t>Philippe F. X., Laitat M., Wavreille J., Nicks B. 2016.Floor slat openings impact ammonia and greenhouse gas emissions associated with group-housed gestating sows. Livestock Volume 10, 2027-2033. https://doi-org.ez.statsbiblioteket.dk:12048/10.1017/S1751731116000938</t>
  </si>
  <si>
    <t>Philippe F. X., Laitat M., Wavreille J., Nicks B., Cabaraux J. F. 2013. Influence of permanent use of feeding stalls as living area on ammonia and greenhouse gas emissions for group-housed gestating sows kept on straw deep-litter. Livestock Science. 155, 397-406. DOI: 10.1016/j.livsci.2013.05.005</t>
  </si>
  <si>
    <t>Philippe F. X., Laitat, M., Nicks B., Cabaraux J.F. 2012. Ammonia and greenhouse gas emissions during the fattening of pigs kept on two types of straw floor. Agriculture, Ecosystems and Environment 150, 45, 2012.</t>
  </si>
  <si>
    <t>Philippe F.-X., Laitat M., Wavreille J., Nicks B., Cabaraux J.-F. 2015. Effects of a high-fibre diet on ammonia and greenhouse gas emissions from gestating sows and fattening pigs. Atmospheric Environment, 109, 197-204</t>
  </si>
  <si>
    <t>Rumburg, B., Mount, G.H., Filipy, J., Lamb, B., Westberg, H., Yonge, D., Kincaid, R., Johnson, R. 2008. Measurement and modeling of atmospheric flux of ammonia from dairy milking cow housing. Atmospheric Environment 42, 3364–3379.</t>
  </si>
  <si>
    <t>Saha C.KL., Ammona C., Berga W., Fiedler M., Loebsin C., Sanftleben P., Brunsch R., T. Amon T. 2014. Seasonal and diel variations of ammonia and methane emissions from a naturally ventilated dairy building and the associated factors influencing emissions. Science of the Total Environment 468–469, 53–62 B.V. All rights reserved.http://dx.doi.org/10.1016/j.scitotenv.2013.08.015</t>
  </si>
  <si>
    <t>Schrade, S., Keck, M., Zeyer, K., Emmenegger, L., Hartung, E. 2010. Comparison of ammonia emissions from a naturally ventilated dairy loose housing with solid floor surfaces over two seasons. CIGR XVIIth World Congress – Québec City, Canada – June 13-17, 2010.</t>
  </si>
  <si>
    <t>Snell H.G.J., Seipelt F., Van Den Weghe H.F.A. 2003. Ventilation Rates and Gaseous Emissions from Naturally Ventilated Dairy Houses. Biosystems Engineering 86, 67-73.</t>
  </si>
  <si>
    <t>Van Ransbeeck N., Van Langenhove H., Demeyer P. 2013. Indoor concentrations and emissions factors of particulate matter, ammonia and greenhouse gases for pig fattening facilities. Biosystems engineering 116, 518 – 528.</t>
  </si>
  <si>
    <t>Peer reviewed articles</t>
  </si>
  <si>
    <t>reports</t>
  </si>
  <si>
    <t>Proceeding Articles</t>
  </si>
  <si>
    <t>Ngwabie et al., 2011b</t>
  </si>
  <si>
    <t>Philippe, F-X., Cabaraux, J.F., Nicks, B. 2011. Ammonia emissions from pig houses: Influencing factors and mitigation techniques. Agriculture, Ecosystems and Environment 141, 245–260.</t>
  </si>
  <si>
    <t>Philippe et al. (2011)</t>
  </si>
  <si>
    <t>Xu W., ZHENG K., LIU X., MENG L., HUAITALLA R. M., SHEN J., HARTUNG E.,GALLMANN E., ROELCKE M., ZHANG F. 2014. Atmospheric NH3 dynamics at a typical pig farm in China and their implications. Atmospheric Pollution Research. 5, 455-463</t>
  </si>
  <si>
    <t>Guingand, 2003</t>
  </si>
  <si>
    <t>Guignand 2003</t>
  </si>
  <si>
    <t>Guingand 2003</t>
  </si>
  <si>
    <t>Guiziou, 2005</t>
  </si>
  <si>
    <t>Amon et al. 2008 . Finishers</t>
  </si>
  <si>
    <t>Amon et al.  2007</t>
  </si>
  <si>
    <t>Knitzatov 2011. Poultry barn?</t>
  </si>
  <si>
    <t>Teye and Hautala, 2008. Cattle barn</t>
  </si>
  <si>
    <t>Maaksimeets et al. 2015 - Cattle barn slurry</t>
  </si>
  <si>
    <t>Zong C., Li H. and Zhang G. 2015. Ammonia and greenhouse gas emissions from fattening pig house with two types of partial pit ventilation systems. Agric., Ecosys. Environ. 208, 94–105. http://dx.doi.org/10.1016/j.agee.2015.04.031</t>
  </si>
  <si>
    <t>Blunden J., Aneja V.P. and Overton J.H. 2008. Modeling hydrogen sulfide emissions across the gas– liquid interface of an anaerobic swine waste treatment storage system. Atmos. Environ. 42, 5602– 5611. doi:10.1016/j.atmosenv.2008.03.016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</si>
</sst>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sz val="9"/>
      <color indexed="81"/>
      <name val="Tahoma"/>
      <family val="2"/>
    </font>
    <font>
      <b/>
      <sz val="9"/>
      <color indexed="81"/>
      <name val="Tahoma"/>
      <family val="2"/>
    </font>
    <font>
      <b/>
      <sz val="11"/>
      <color rgb="FF990000"/>
      <name val="Calibri"/>
      <family val="2"/>
      <scheme val="minor"/>
    </font>
    <font>
      <sz val="10"/>
      <name val="Arial"/>
      <family val="2"/>
    </font>
    <font>
      <sz val="10"/>
      <name val="Arial"/>
      <family val="2"/>
    </font>
    <font>
      <b/>
      <sz val="10"/>
      <color rgb="FFC00000"/>
      <name val="Arial"/>
      <family val="2"/>
    </font>
    <font>
      <sz val="10"/>
      <color rgb="FF0070C0"/>
      <name val="Arial"/>
      <family val="2"/>
    </font>
    <font>
      <b/>
      <sz val="10"/>
      <color indexed="81"/>
      <name val="Tahoma"/>
      <family val="2"/>
    </font>
    <font>
      <sz val="10"/>
      <color indexed="81"/>
      <name val="Tahoma"/>
      <family val="2"/>
    </font>
    <font>
      <b/>
      <sz val="11"/>
      <color rgb="FF3399FF"/>
      <name val="Calibri"/>
      <family val="2"/>
      <scheme val="minor"/>
    </font>
    <font>
      <b/>
      <sz val="11"/>
      <color theme="4" tint="-0.249977111117893"/>
      <name val="Calibri"/>
      <family val="2"/>
      <scheme val="minor"/>
    </font>
    <font>
      <sz val="11"/>
      <color rgb="FF006100"/>
      <name val="Calibri"/>
      <family val="2"/>
      <charset val="1"/>
      <scheme val="minor"/>
    </font>
    <font>
      <b/>
      <sz val="11"/>
      <color theme="1"/>
      <name val="Calibri"/>
      <family val="2"/>
      <scheme val="minor"/>
    </font>
    <font>
      <b/>
      <sz val="14"/>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theme="5" tint="-0.249977111117893"/>
        <bgColor indexed="64"/>
      </patternFill>
    </fill>
    <fill>
      <patternFill patternType="solid">
        <fgColor rgb="FFFFFFCC"/>
        <bgColor indexed="64"/>
      </patternFill>
    </fill>
    <fill>
      <patternFill patternType="solid">
        <fgColor rgb="FFC00000"/>
        <bgColor indexed="64"/>
      </patternFill>
    </fill>
    <fill>
      <patternFill patternType="solid">
        <fgColor theme="9" tint="0.59999389629810485"/>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2" fillId="4" borderId="0" applyNumberFormat="0" applyBorder="0" applyAlignment="0" applyProtection="0"/>
  </cellStyleXfs>
  <cellXfs count="83">
    <xf numFmtId="0" fontId="0" fillId="0" borderId="0" xfId="0"/>
    <xf numFmtId="0" fontId="0" fillId="0" borderId="0" xfId="0" applyAlignment="1">
      <alignment wrapText="1"/>
    </xf>
    <xf numFmtId="0" fontId="0" fillId="2" borderId="0" xfId="0" applyFill="1"/>
    <xf numFmtId="0" fontId="0" fillId="2" borderId="1" xfId="0" applyFill="1" applyBorder="1"/>
    <xf numFmtId="0" fontId="0" fillId="0" borderId="1" xfId="0" applyBorder="1"/>
    <xf numFmtId="0" fontId="0" fillId="0" borderId="8" xfId="0" applyBorder="1"/>
    <xf numFmtId="164" fontId="0" fillId="0" borderId="0" xfId="0" applyNumberFormat="1"/>
    <xf numFmtId="0" fontId="3" fillId="0" borderId="0" xfId="0" applyFont="1"/>
    <xf numFmtId="0" fontId="6" fillId="0" borderId="0" xfId="0" applyFont="1" applyFill="1" applyBorder="1" applyAlignment="1">
      <alignment horizontal="left" vertical="top" wrapText="1"/>
    </xf>
    <xf numFmtId="0" fontId="6" fillId="0" borderId="0" xfId="0" applyFont="1" applyFill="1" applyBorder="1"/>
    <xf numFmtId="0" fontId="6" fillId="0" borderId="0" xfId="0" applyFont="1" applyFill="1" applyBorder="1" applyAlignment="1">
      <alignment horizontal="right"/>
    </xf>
    <xf numFmtId="2" fontId="7" fillId="0" borderId="0" xfId="0" applyNumberFormat="1" applyFont="1" applyFill="1" applyBorder="1"/>
    <xf numFmtId="164" fontId="6" fillId="0" borderId="0" xfId="0" applyNumberFormat="1" applyFont="1" applyFill="1" applyBorder="1"/>
    <xf numFmtId="0" fontId="0" fillId="3" borderId="0" xfId="0" applyFill="1"/>
    <xf numFmtId="0" fontId="3" fillId="3" borderId="0" xfId="0" applyFont="1" applyFill="1"/>
    <xf numFmtId="0" fontId="0" fillId="2" borderId="0" xfId="0" applyFill="1" applyAlignment="1">
      <alignment wrapText="1"/>
    </xf>
    <xf numFmtId="0" fontId="3" fillId="2" borderId="0" xfId="0" applyFont="1" applyFill="1"/>
    <xf numFmtId="0" fontId="4" fillId="2" borderId="1"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 xfId="0" applyFont="1" applyFill="1" applyBorder="1"/>
    <xf numFmtId="0" fontId="5" fillId="2" borderId="0" xfId="0" applyFont="1" applyFill="1" applyBorder="1"/>
    <xf numFmtId="0" fontId="4" fillId="2" borderId="1" xfId="0" applyFont="1" applyFill="1" applyBorder="1" applyAlignment="1">
      <alignment horizontal="right" vertical="top" wrapText="1"/>
    </xf>
    <xf numFmtId="2" fontId="4" fillId="2" borderId="1" xfId="0" applyNumberFormat="1" applyFont="1" applyFill="1" applyBorder="1"/>
    <xf numFmtId="2" fontId="4" fillId="2" borderId="1" xfId="0" applyNumberFormat="1" applyFont="1" applyFill="1" applyBorder="1" applyAlignment="1">
      <alignment horizontal="right" vertical="top" wrapText="1"/>
    </xf>
    <xf numFmtId="164" fontId="4" fillId="2" borderId="1" xfId="0" applyNumberFormat="1" applyFont="1" applyFill="1" applyBorder="1" applyAlignment="1">
      <alignment horizontal="right" vertical="top" wrapText="1"/>
    </xf>
    <xf numFmtId="0" fontId="0" fillId="2" borderId="0" xfId="0" applyFill="1" applyBorder="1"/>
    <xf numFmtId="0" fontId="10" fillId="0" borderId="0" xfId="0" applyFont="1"/>
    <xf numFmtId="0" fontId="11" fillId="0" borderId="0" xfId="0" applyFont="1" applyAlignment="1">
      <alignment horizontal="center" wrapText="1"/>
    </xf>
    <xf numFmtId="0" fontId="11" fillId="0" borderId="0" xfId="0" applyFont="1" applyAlignment="1">
      <alignment wrapText="1"/>
    </xf>
    <xf numFmtId="0" fontId="3" fillId="2" borderId="0" xfId="0" applyFont="1" applyFill="1" applyBorder="1"/>
    <xf numFmtId="0" fontId="0" fillId="2" borderId="0" xfId="0" applyFill="1" applyBorder="1" applyAlignment="1">
      <alignment wrapText="1"/>
    </xf>
    <xf numFmtId="0" fontId="4" fillId="2" borderId="0" xfId="0" applyFont="1" applyFill="1" applyBorder="1"/>
    <xf numFmtId="0" fontId="5" fillId="2" borderId="0" xfId="0" applyFont="1" applyFill="1" applyBorder="1" applyAlignment="1">
      <alignment horizontal="right" vertical="top" wrapText="1"/>
    </xf>
    <xf numFmtId="2" fontId="5" fillId="2" borderId="0" xfId="0" applyNumberFormat="1" applyFont="1" applyFill="1" applyBorder="1"/>
    <xf numFmtId="2" fontId="5" fillId="2" borderId="0" xfId="0" applyNumberFormat="1" applyFont="1" applyFill="1" applyBorder="1" applyAlignment="1">
      <alignment horizontal="right" vertical="top" wrapText="1"/>
    </xf>
    <xf numFmtId="164" fontId="5" fillId="2" borderId="0" xfId="0" applyNumberFormat="1" applyFont="1" applyFill="1" applyBorder="1" applyAlignment="1">
      <alignment horizontal="right" vertical="top" wrapText="1"/>
    </xf>
    <xf numFmtId="0" fontId="12" fillId="4" borderId="2" xfId="1" applyBorder="1"/>
    <xf numFmtId="0" fontId="12" fillId="4" borderId="3" xfId="1" applyBorder="1"/>
    <xf numFmtId="0" fontId="12" fillId="4" borderId="4" xfId="1" applyBorder="1"/>
    <xf numFmtId="0" fontId="12" fillId="4" borderId="5" xfId="1" applyBorder="1"/>
    <xf numFmtId="164" fontId="12" fillId="4" borderId="7" xfId="1" applyNumberFormat="1" applyBorder="1"/>
    <xf numFmtId="164" fontId="12" fillId="4" borderId="6" xfId="1" applyNumberFormat="1" applyBorder="1"/>
    <xf numFmtId="0" fontId="0" fillId="2" borderId="9" xfId="0" applyFill="1" applyBorder="1"/>
    <xf numFmtId="0" fontId="12" fillId="4" borderId="0" xfId="1" applyBorder="1"/>
    <xf numFmtId="0" fontId="12" fillId="4" borderId="7" xfId="1" applyBorder="1"/>
    <xf numFmtId="0" fontId="12" fillId="4" borderId="6" xfId="1" applyBorder="1"/>
    <xf numFmtId="0" fontId="12" fillId="4" borderId="10" xfId="1" applyBorder="1"/>
    <xf numFmtId="0" fontId="12" fillId="4" borderId="11" xfId="1" applyBorder="1"/>
    <xf numFmtId="0" fontId="0" fillId="5" borderId="12" xfId="0" applyFill="1" applyBorder="1"/>
    <xf numFmtId="0" fontId="0" fillId="5" borderId="13" xfId="0" applyFill="1" applyBorder="1"/>
    <xf numFmtId="0" fontId="0" fillId="5" borderId="14" xfId="0" applyFill="1" applyBorder="1"/>
    <xf numFmtId="0" fontId="0" fillId="5" borderId="15" xfId="0" applyFill="1" applyBorder="1"/>
    <xf numFmtId="164" fontId="12" fillId="4" borderId="11" xfId="1" applyNumberFormat="1" applyBorder="1"/>
    <xf numFmtId="0" fontId="0" fillId="6" borderId="0" xfId="0" applyFill="1"/>
    <xf numFmtId="0" fontId="0" fillId="0" borderId="0" xfId="0" applyFill="1"/>
    <xf numFmtId="0" fontId="12" fillId="4" borderId="0" xfId="1"/>
    <xf numFmtId="0" fontId="0" fillId="7" borderId="12" xfId="0" applyFill="1" applyBorder="1"/>
    <xf numFmtId="0" fontId="0" fillId="7" borderId="13" xfId="0" applyFill="1" applyBorder="1"/>
    <xf numFmtId="0" fontId="0" fillId="7" borderId="16" xfId="0" applyFill="1" applyBorder="1"/>
    <xf numFmtId="0" fontId="12" fillId="4" borderId="12" xfId="1" applyBorder="1"/>
    <xf numFmtId="1" fontId="12" fillId="4" borderId="13" xfId="1" applyNumberFormat="1" applyBorder="1"/>
    <xf numFmtId="0" fontId="12" fillId="4" borderId="13" xfId="1" applyBorder="1"/>
    <xf numFmtId="0" fontId="12" fillId="4" borderId="16" xfId="1" applyBorder="1"/>
    <xf numFmtId="164" fontId="12" fillId="4" borderId="16" xfId="1" applyNumberFormat="1" applyBorder="1"/>
    <xf numFmtId="164" fontId="0" fillId="7" borderId="13" xfId="0" applyNumberFormat="1" applyFill="1" applyBorder="1"/>
    <xf numFmtId="1" fontId="0" fillId="0" borderId="0" xfId="0" applyNumberFormat="1"/>
    <xf numFmtId="0" fontId="14" fillId="7" borderId="12" xfId="0" applyFont="1" applyFill="1" applyBorder="1"/>
    <xf numFmtId="0" fontId="0" fillId="8" borderId="2" xfId="0" applyFill="1" applyBorder="1"/>
    <xf numFmtId="0" fontId="0" fillId="8" borderId="3" xfId="0" applyFill="1" applyBorder="1"/>
    <xf numFmtId="0" fontId="0" fillId="8" borderId="10" xfId="0" applyFill="1" applyBorder="1"/>
    <xf numFmtId="0" fontId="0" fillId="8" borderId="0" xfId="0" applyFill="1" applyBorder="1"/>
    <xf numFmtId="0" fontId="0" fillId="8" borderId="4" xfId="0" applyFill="1" applyBorder="1"/>
    <xf numFmtId="0" fontId="0" fillId="8" borderId="5" xfId="0" applyFill="1" applyBorder="1"/>
    <xf numFmtId="0" fontId="0" fillId="8" borderId="7" xfId="0" applyFill="1" applyBorder="1"/>
    <xf numFmtId="0" fontId="0" fillId="8" borderId="11" xfId="0" applyFill="1" applyBorder="1"/>
    <xf numFmtId="0" fontId="0" fillId="8" borderId="6" xfId="0" applyFill="1" applyBorder="1"/>
    <xf numFmtId="164" fontId="12" fillId="8" borderId="7" xfId="1" applyNumberFormat="1" applyFill="1" applyBorder="1"/>
    <xf numFmtId="164" fontId="12" fillId="8" borderId="11" xfId="1" applyNumberFormat="1" applyFill="1" applyBorder="1"/>
    <xf numFmtId="164" fontId="12" fillId="8" borderId="6" xfId="1" applyNumberFormat="1" applyFill="1" applyBorder="1"/>
    <xf numFmtId="0" fontId="13" fillId="7" borderId="12" xfId="0" applyFont="1" applyFill="1" applyBorder="1"/>
    <xf numFmtId="0" fontId="0" fillId="9" borderId="0" xfId="0" applyFill="1"/>
    <xf numFmtId="0" fontId="15" fillId="0" borderId="0" xfId="0" applyFont="1" applyAlignment="1">
      <alignment wrapText="1"/>
    </xf>
    <xf numFmtId="0" fontId="15" fillId="0" borderId="0" xfId="0" applyFont="1"/>
  </cellXfs>
  <cellStyles count="2">
    <cellStyle name="Good" xfId="1" builtinId="26"/>
    <cellStyle name="Normal" xfId="0" builtinId="0"/>
  </cellStyles>
  <dxfs count="0"/>
  <tableStyles count="0" defaultTableStyle="TableStyleMedium2" defaultPivotStyle="PivotStyleLight16"/>
  <colors>
    <mruColors>
      <color rgb="FFCCFFCC"/>
      <color rgb="FFCCFFFF"/>
      <color rgb="FFFFFFCC"/>
      <color rgb="FF990000"/>
      <color rgb="FFCCECFF"/>
      <color rgb="FFFFCCFF"/>
      <color rgb="FFFF99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24"/>
  <sheetViews>
    <sheetView zoomScaleNormal="100" workbookViewId="0">
      <pane xSplit="5" ySplit="3" topLeftCell="U31" activePane="bottomRight" state="frozen"/>
      <selection pane="topRight" activeCell="E1" sqref="E1"/>
      <selection pane="bottomLeft" activeCell="A4" sqref="A4"/>
      <selection pane="bottomRight" activeCell="AA1" sqref="AA1:AA1048576"/>
    </sheetView>
  </sheetViews>
  <sheetFormatPr defaultRowHeight="14.4" x14ac:dyDescent="0.3"/>
  <cols>
    <col min="1" max="1" width="11.33203125" customWidth="1"/>
    <col min="4" max="4" width="17.6640625" customWidth="1"/>
    <col min="5" max="5" width="19.5546875" customWidth="1"/>
    <col min="6" max="6" width="18.5546875" customWidth="1"/>
    <col min="7" max="7" width="15.33203125" customWidth="1"/>
    <col min="8" max="9" width="17.6640625" customWidth="1"/>
    <col min="11" max="14" width="11.44140625" customWidth="1"/>
    <col min="15" max="15" width="12.109375" customWidth="1"/>
    <col min="16" max="16" width="12.33203125" customWidth="1"/>
    <col min="17" max="17" width="13.6640625" customWidth="1"/>
    <col min="18" max="19" width="15.6640625" customWidth="1"/>
    <col min="21" max="21" width="8.6640625"/>
    <col min="22" max="22" width="12.44140625" customWidth="1"/>
    <col min="24" max="24" width="8.6640625" style="26"/>
    <col min="25" max="25" width="8.6640625" style="7"/>
    <col min="27" max="27" width="19.5546875" customWidth="1"/>
  </cols>
  <sheetData>
    <row r="1" spans="1:43" x14ac:dyDescent="0.3">
      <c r="F1" t="s">
        <v>70</v>
      </c>
      <c r="N1" t="s">
        <v>21</v>
      </c>
      <c r="O1" t="s">
        <v>70</v>
      </c>
      <c r="P1" t="s">
        <v>70</v>
      </c>
      <c r="Q1" t="s">
        <v>70</v>
      </c>
      <c r="R1" t="s">
        <v>70</v>
      </c>
      <c r="S1" t="s">
        <v>70</v>
      </c>
      <c r="T1" t="s">
        <v>70</v>
      </c>
      <c r="V1" t="s">
        <v>70</v>
      </c>
      <c r="X1"/>
      <c r="Y1"/>
    </row>
    <row r="2" spans="1:43" ht="30.6" customHeight="1" x14ac:dyDescent="0.3">
      <c r="A2" t="s">
        <v>278</v>
      </c>
      <c r="D2" t="s">
        <v>3</v>
      </c>
      <c r="E2" t="s">
        <v>111</v>
      </c>
      <c r="F2" t="s">
        <v>337</v>
      </c>
      <c r="G2" t="s">
        <v>3</v>
      </c>
      <c r="H2" t="s">
        <v>192</v>
      </c>
      <c r="I2" t="s">
        <v>194</v>
      </c>
      <c r="J2" t="s">
        <v>110</v>
      </c>
      <c r="K2" t="s">
        <v>199</v>
      </c>
      <c r="N2" t="s">
        <v>208</v>
      </c>
      <c r="O2" t="s">
        <v>73</v>
      </c>
      <c r="P2" t="s">
        <v>73</v>
      </c>
      <c r="Q2" t="s">
        <v>78</v>
      </c>
      <c r="R2" t="s">
        <v>78</v>
      </c>
      <c r="S2" t="s">
        <v>245</v>
      </c>
      <c r="T2" t="s">
        <v>78</v>
      </c>
      <c r="U2" t="s">
        <v>370</v>
      </c>
      <c r="V2" t="s">
        <v>337</v>
      </c>
      <c r="W2" t="s">
        <v>343</v>
      </c>
      <c r="X2" t="s">
        <v>333</v>
      </c>
      <c r="Y2" t="s">
        <v>332</v>
      </c>
      <c r="Z2" t="s">
        <v>73</v>
      </c>
      <c r="AA2" t="s">
        <v>376</v>
      </c>
    </row>
    <row r="3" spans="1:43" x14ac:dyDescent="0.3">
      <c r="F3" t="s">
        <v>241</v>
      </c>
      <c r="G3" t="s">
        <v>88</v>
      </c>
      <c r="H3" t="s">
        <v>193</v>
      </c>
      <c r="I3" t="s">
        <v>195</v>
      </c>
      <c r="J3" t="s">
        <v>196</v>
      </c>
      <c r="K3" t="s">
        <v>198</v>
      </c>
      <c r="N3" t="s">
        <v>205</v>
      </c>
      <c r="O3" t="s">
        <v>89</v>
      </c>
      <c r="P3" t="s">
        <v>79</v>
      </c>
      <c r="Q3" t="s">
        <v>204</v>
      </c>
      <c r="R3" t="s">
        <v>118</v>
      </c>
      <c r="S3" t="s">
        <v>247</v>
      </c>
      <c r="T3" t="s">
        <v>10</v>
      </c>
      <c r="V3" t="s">
        <v>241</v>
      </c>
      <c r="X3" t="s">
        <v>241</v>
      </c>
      <c r="Y3" t="s">
        <v>241</v>
      </c>
      <c r="Z3" t="s">
        <v>11</v>
      </c>
    </row>
    <row r="4" spans="1:43" x14ac:dyDescent="0.3">
      <c r="A4" t="s">
        <v>0</v>
      </c>
      <c r="D4" t="s">
        <v>4</v>
      </c>
      <c r="E4" t="s">
        <v>107</v>
      </c>
      <c r="F4" s="6">
        <v>24.142857142857142</v>
      </c>
      <c r="G4" s="6">
        <v>0.92</v>
      </c>
      <c r="H4" s="6"/>
      <c r="I4" s="6"/>
      <c r="J4" s="6"/>
      <c r="K4" s="6">
        <v>0.7</v>
      </c>
      <c r="L4" s="6"/>
      <c r="M4" s="6"/>
      <c r="N4" s="6">
        <f>52.3-7.8</f>
        <v>44.5</v>
      </c>
      <c r="O4" s="6">
        <v>9.0500000000000007</v>
      </c>
      <c r="P4" s="6">
        <v>3.6</v>
      </c>
      <c r="Q4" s="6"/>
      <c r="R4" s="6"/>
      <c r="S4" s="6"/>
      <c r="T4" s="6">
        <f>Z4/K4</f>
        <v>24.142857142857142</v>
      </c>
      <c r="U4" s="6">
        <v>1</v>
      </c>
      <c r="V4" s="6">
        <f>T4</f>
        <v>24.142857142857142</v>
      </c>
      <c r="W4" s="6"/>
      <c r="X4" s="6">
        <v>25</v>
      </c>
      <c r="Y4" s="6"/>
      <c r="Z4" s="6">
        <v>16.899999999999999</v>
      </c>
      <c r="AA4" t="s">
        <v>33</v>
      </c>
    </row>
    <row r="5" spans="1:43" x14ac:dyDescent="0.3">
      <c r="A5" t="s">
        <v>0</v>
      </c>
      <c r="D5" t="s">
        <v>18</v>
      </c>
      <c r="E5" t="s">
        <v>107</v>
      </c>
      <c r="F5" s="6">
        <v>14.700109051254088</v>
      </c>
      <c r="G5" s="6"/>
      <c r="H5" s="6"/>
      <c r="I5" s="6"/>
      <c r="J5" s="6"/>
      <c r="K5" s="6">
        <v>0.7</v>
      </c>
      <c r="L5" s="6"/>
      <c r="M5" s="6"/>
      <c r="N5" s="6"/>
      <c r="O5" s="6"/>
      <c r="P5" s="6"/>
      <c r="Q5" s="6"/>
      <c r="R5" s="6"/>
      <c r="S5" s="6"/>
      <c r="T5" s="6">
        <f>Z5/K5</f>
        <v>14.700109051254088</v>
      </c>
      <c r="U5" s="6">
        <v>1</v>
      </c>
      <c r="V5" s="6">
        <f t="shared" ref="V5:V9" si="0">T5</f>
        <v>14.700109051254088</v>
      </c>
      <c r="W5" s="6"/>
      <c r="X5" s="6"/>
      <c r="Y5" s="6"/>
      <c r="Z5" s="6">
        <f>12*33.7/(33.7+5.6)</f>
        <v>10.290076335877862</v>
      </c>
      <c r="AA5" t="s">
        <v>20</v>
      </c>
    </row>
    <row r="6" spans="1:43" x14ac:dyDescent="0.3">
      <c r="A6" t="s">
        <v>0</v>
      </c>
      <c r="D6" t="s">
        <v>19</v>
      </c>
      <c r="E6" t="s">
        <v>107</v>
      </c>
      <c r="F6" s="6">
        <v>11.861471861471863</v>
      </c>
      <c r="G6" s="6"/>
      <c r="H6" s="6"/>
      <c r="I6" s="6"/>
      <c r="J6" s="6"/>
      <c r="K6" s="6">
        <v>0.7</v>
      </c>
      <c r="L6" s="6"/>
      <c r="M6" s="6"/>
      <c r="N6" s="6"/>
      <c r="O6" s="6">
        <v>7.45</v>
      </c>
      <c r="P6" s="6"/>
      <c r="Q6" s="6"/>
      <c r="R6" s="6"/>
      <c r="S6" s="6"/>
      <c r="T6" s="6">
        <f>Z6/K6</f>
        <v>11.861471861471863</v>
      </c>
      <c r="U6" s="6">
        <v>1</v>
      </c>
      <c r="V6" s="6">
        <f t="shared" si="0"/>
        <v>11.861471861471863</v>
      </c>
      <c r="W6" s="6"/>
      <c r="X6" s="6"/>
      <c r="Y6" s="6"/>
      <c r="Z6" s="6">
        <f>10*27.4/(27.4+5.6)</f>
        <v>8.3030303030303028</v>
      </c>
      <c r="AA6" t="s">
        <v>20</v>
      </c>
      <c r="AC6" t="s">
        <v>34</v>
      </c>
    </row>
    <row r="7" spans="1:43" x14ac:dyDescent="0.3">
      <c r="A7" t="s">
        <v>86</v>
      </c>
      <c r="D7" t="s">
        <v>87</v>
      </c>
      <c r="E7" t="s">
        <v>90</v>
      </c>
      <c r="F7" s="6">
        <v>33.24545454545455</v>
      </c>
      <c r="G7" s="6">
        <v>2</v>
      </c>
      <c r="H7" s="6"/>
      <c r="I7" s="6">
        <f>500/230</f>
        <v>2.1739130434782608</v>
      </c>
      <c r="J7" s="6"/>
      <c r="K7" s="6">
        <v>0.7</v>
      </c>
      <c r="L7" s="6"/>
      <c r="M7" s="6"/>
      <c r="N7" s="6">
        <v>44</v>
      </c>
      <c r="O7" s="6"/>
      <c r="P7" s="6"/>
      <c r="Q7" s="6">
        <v>31.8</v>
      </c>
      <c r="R7" s="6"/>
      <c r="S7" s="6"/>
      <c r="T7" s="6">
        <f>100*Q7/(N7*I7)</f>
        <v>33.24545454545455</v>
      </c>
      <c r="U7" s="6">
        <v>1</v>
      </c>
      <c r="V7" s="6">
        <f t="shared" si="0"/>
        <v>33.24545454545455</v>
      </c>
      <c r="W7" s="6"/>
      <c r="X7" s="6">
        <v>35</v>
      </c>
      <c r="Y7" s="6"/>
      <c r="Z7" s="6"/>
      <c r="AA7" t="s">
        <v>85</v>
      </c>
      <c r="AC7" t="s">
        <v>90</v>
      </c>
    </row>
    <row r="8" spans="1:43" x14ac:dyDescent="0.3">
      <c r="A8" t="s">
        <v>136</v>
      </c>
      <c r="D8" t="s">
        <v>206</v>
      </c>
      <c r="E8" t="s">
        <v>107</v>
      </c>
      <c r="F8" s="6">
        <v>23.59370786516854</v>
      </c>
      <c r="G8" s="6"/>
      <c r="H8" s="6"/>
      <c r="I8" s="6">
        <f>500/193</f>
        <v>2.5906735751295336</v>
      </c>
      <c r="J8" s="6">
        <v>10.1</v>
      </c>
      <c r="K8" s="6">
        <v>0.7</v>
      </c>
      <c r="L8" s="6"/>
      <c r="M8" s="6"/>
      <c r="N8" s="6">
        <f>N4</f>
        <v>44.5</v>
      </c>
      <c r="O8" s="6"/>
      <c r="P8" s="6"/>
      <c r="Q8" s="6">
        <v>27.2</v>
      </c>
      <c r="R8" s="6"/>
      <c r="S8" s="6"/>
      <c r="T8" s="6">
        <f>100*Q8/(N8*I8)</f>
        <v>23.59370786516854</v>
      </c>
      <c r="U8" s="6">
        <v>1</v>
      </c>
      <c r="V8" s="6">
        <f t="shared" si="0"/>
        <v>23.59370786516854</v>
      </c>
      <c r="W8" s="6"/>
      <c r="X8" s="6"/>
      <c r="Y8" s="6"/>
      <c r="Z8" s="6"/>
      <c r="AA8" t="s">
        <v>137</v>
      </c>
    </row>
    <row r="9" spans="1:43" x14ac:dyDescent="0.3">
      <c r="A9" t="s">
        <v>136</v>
      </c>
      <c r="D9" t="s">
        <v>206</v>
      </c>
      <c r="E9" t="s">
        <v>107</v>
      </c>
      <c r="F9" s="6">
        <v>38.878651685393258</v>
      </c>
      <c r="G9" s="6"/>
      <c r="H9" s="6"/>
      <c r="I9" s="6">
        <f>500/237</f>
        <v>2.109704641350211</v>
      </c>
      <c r="J9" s="6"/>
      <c r="K9" s="6">
        <v>0.7</v>
      </c>
      <c r="L9" s="6"/>
      <c r="M9" s="6"/>
      <c r="N9" s="6">
        <f>N4</f>
        <v>44.5</v>
      </c>
      <c r="O9" s="6"/>
      <c r="P9" s="6"/>
      <c r="Q9" s="6">
        <v>36.5</v>
      </c>
      <c r="R9" s="6"/>
      <c r="S9" s="6"/>
      <c r="T9" s="6">
        <f>100*Q9/(N9*I9)</f>
        <v>38.878651685393258</v>
      </c>
      <c r="U9" s="6">
        <v>1</v>
      </c>
      <c r="V9" s="6">
        <f t="shared" si="0"/>
        <v>38.878651685393258</v>
      </c>
      <c r="W9" s="6"/>
      <c r="X9" s="6"/>
      <c r="Y9" s="6"/>
      <c r="Z9" s="6"/>
      <c r="AA9" t="s">
        <v>137</v>
      </c>
    </row>
    <row r="10" spans="1:43" ht="15" thickBot="1" x14ac:dyDescent="0.35">
      <c r="A10" t="s">
        <v>178</v>
      </c>
      <c r="D10" t="s">
        <v>182</v>
      </c>
      <c r="E10" t="s">
        <v>172</v>
      </c>
      <c r="F10" s="6"/>
      <c r="G10" s="6"/>
      <c r="H10" s="6"/>
      <c r="I10" s="6">
        <f>500/193</f>
        <v>2.5906735751295336</v>
      </c>
      <c r="J10" s="6">
        <v>10.1</v>
      </c>
      <c r="K10" s="6">
        <v>0.7</v>
      </c>
      <c r="L10" s="6"/>
      <c r="M10" s="6"/>
      <c r="N10" s="6">
        <f>J10*I10*1000/365</f>
        <v>71.687131804954205</v>
      </c>
      <c r="O10" s="6">
        <f>800.5*24/1000</f>
        <v>19.212</v>
      </c>
      <c r="P10" s="6"/>
      <c r="Q10" s="6">
        <f>1996*24/1000</f>
        <v>47.904000000000003</v>
      </c>
      <c r="R10" s="6"/>
      <c r="S10" s="6"/>
      <c r="T10" s="6"/>
      <c r="U10" s="6"/>
      <c r="V10" s="6"/>
      <c r="W10" s="6" t="s">
        <v>351</v>
      </c>
      <c r="X10" s="6">
        <v>20</v>
      </c>
      <c r="Y10" s="6"/>
      <c r="Z10" s="6"/>
      <c r="AA10" t="s">
        <v>207</v>
      </c>
    </row>
    <row r="11" spans="1:43" x14ac:dyDescent="0.3">
      <c r="A11" s="67" t="s">
        <v>178</v>
      </c>
      <c r="B11" s="68" t="s">
        <v>353</v>
      </c>
      <c r="C11" s="68"/>
      <c r="D11" s="68"/>
      <c r="E11" s="73"/>
      <c r="F11" s="76">
        <v>23.868282504012839</v>
      </c>
      <c r="G11" s="6"/>
      <c r="H11" s="6"/>
      <c r="I11" s="6"/>
      <c r="J11" s="6"/>
      <c r="K11" s="6"/>
      <c r="L11" s="6"/>
      <c r="M11" s="6"/>
      <c r="N11" s="6"/>
      <c r="O11" s="6"/>
      <c r="P11" s="6"/>
      <c r="Q11" s="6"/>
      <c r="R11" s="6"/>
      <c r="S11" s="6"/>
      <c r="T11" s="6"/>
      <c r="U11" s="6"/>
      <c r="V11" s="6">
        <f>MEDIAN(V4:V10)</f>
        <v>23.868282504012839</v>
      </c>
      <c r="W11" s="6"/>
      <c r="X11" s="6"/>
      <c r="Y11" s="6">
        <v>25</v>
      </c>
      <c r="Z11" s="6"/>
    </row>
    <row r="12" spans="1:43" x14ac:dyDescent="0.3">
      <c r="A12" s="69" t="s">
        <v>178</v>
      </c>
      <c r="B12" s="70" t="s">
        <v>211</v>
      </c>
      <c r="C12" s="70"/>
      <c r="D12" s="70"/>
      <c r="E12" s="74"/>
      <c r="F12" s="77">
        <v>24.403708691933243</v>
      </c>
      <c r="G12" s="6"/>
      <c r="H12" s="6"/>
      <c r="I12" s="6"/>
      <c r="J12" s="6"/>
      <c r="K12" s="6"/>
      <c r="L12" s="6"/>
      <c r="M12" s="6"/>
      <c r="N12" s="6"/>
      <c r="O12" s="6"/>
      <c r="P12" s="6"/>
      <c r="Q12" s="6"/>
      <c r="R12" s="6"/>
      <c r="S12" s="6"/>
      <c r="T12" s="6"/>
      <c r="U12" s="6"/>
      <c r="V12" s="6">
        <f>AVERAGE(V4:V10)</f>
        <v>24.403708691933243</v>
      </c>
      <c r="W12" s="6"/>
      <c r="X12" s="6"/>
      <c r="Y12" s="6"/>
      <c r="Z12" s="6"/>
    </row>
    <row r="13" spans="1:43" x14ac:dyDescent="0.3">
      <c r="A13" s="69" t="s">
        <v>178</v>
      </c>
      <c r="B13" s="70" t="s">
        <v>210</v>
      </c>
      <c r="C13" s="70"/>
      <c r="D13" s="70"/>
      <c r="E13" s="74"/>
      <c r="F13" s="77">
        <v>10.391266909960155</v>
      </c>
      <c r="G13" s="6"/>
      <c r="H13" s="6"/>
      <c r="I13" s="6"/>
      <c r="J13" s="6"/>
      <c r="K13" s="6"/>
      <c r="L13" s="6"/>
      <c r="M13" s="6"/>
      <c r="N13" s="6"/>
      <c r="O13" s="6"/>
      <c r="P13" s="6"/>
      <c r="Q13" s="6"/>
      <c r="R13" s="6"/>
      <c r="S13" s="6"/>
      <c r="T13" s="6"/>
      <c r="U13" s="6"/>
      <c r="V13" s="6">
        <f>STDEV(V4:V10)</f>
        <v>10.391266909960155</v>
      </c>
      <c r="W13" s="6"/>
      <c r="X13" s="6"/>
      <c r="Y13" s="6"/>
      <c r="Z13" s="6"/>
    </row>
    <row r="14" spans="1:43" s="53" customFormat="1" ht="15" thickBot="1" x14ac:dyDescent="0.35">
      <c r="A14" s="71" t="s">
        <v>178</v>
      </c>
      <c r="B14" s="72" t="s">
        <v>366</v>
      </c>
      <c r="C14" s="72"/>
      <c r="D14" s="72"/>
      <c r="E14" s="75"/>
      <c r="F14" s="78">
        <v>24.403708691933243</v>
      </c>
      <c r="G14" s="6"/>
      <c r="H14" s="6"/>
      <c r="I14" s="6"/>
      <c r="J14" s="6"/>
      <c r="K14" s="6"/>
      <c r="L14" s="6"/>
      <c r="M14" s="6"/>
      <c r="N14" s="6"/>
      <c r="O14" s="6"/>
      <c r="P14" s="6"/>
      <c r="Q14" s="6"/>
      <c r="R14" s="6"/>
      <c r="S14" s="6"/>
      <c r="T14" s="6"/>
      <c r="U14" s="6">
        <f>SUM(U4:U10)</f>
        <v>6</v>
      </c>
      <c r="V14" s="6">
        <f>((V4*U4)+(V5*U5)+(V6*U6)+(V7*U7)+(V8*U8)+(V9*U9))/U14</f>
        <v>24.403708691933243</v>
      </c>
      <c r="W14" s="6"/>
      <c r="X14" s="6"/>
      <c r="Y14" s="6"/>
      <c r="Z14" s="6"/>
      <c r="AA14"/>
      <c r="AB14"/>
      <c r="AC14"/>
      <c r="AD14"/>
      <c r="AE14"/>
      <c r="AF14"/>
      <c r="AG14"/>
      <c r="AH14"/>
      <c r="AI14"/>
      <c r="AJ14"/>
      <c r="AK14"/>
      <c r="AL14"/>
      <c r="AM14"/>
      <c r="AN14"/>
      <c r="AO14"/>
      <c r="AP14"/>
      <c r="AQ14"/>
    </row>
    <row r="15" spans="1:43" x14ac:dyDescent="0.3">
      <c r="F15" s="6"/>
      <c r="G15" s="6"/>
      <c r="H15" s="6"/>
      <c r="I15" s="6"/>
      <c r="J15" s="6"/>
      <c r="K15" s="6"/>
      <c r="L15" s="6"/>
      <c r="M15" s="6"/>
      <c r="N15" s="6"/>
      <c r="O15" s="6"/>
      <c r="P15" s="6"/>
      <c r="Q15" s="6"/>
      <c r="R15" s="6"/>
      <c r="S15" s="6"/>
      <c r="T15" s="6"/>
      <c r="U15" s="6"/>
      <c r="V15" s="6"/>
      <c r="W15" s="6"/>
      <c r="X15" s="6"/>
      <c r="Y15" s="6"/>
      <c r="Z15" s="6"/>
    </row>
    <row r="16" spans="1:43" x14ac:dyDescent="0.3">
      <c r="A16" t="s">
        <v>1</v>
      </c>
      <c r="D16" t="s">
        <v>4</v>
      </c>
      <c r="E16" t="s">
        <v>107</v>
      </c>
      <c r="F16" s="6">
        <v>26.83747412008282</v>
      </c>
      <c r="G16" s="6">
        <v>0.09</v>
      </c>
      <c r="H16" s="6"/>
      <c r="I16" s="6">
        <f>500/23</f>
        <v>21.739130434782609</v>
      </c>
      <c r="J16" s="6"/>
      <c r="K16" s="6">
        <v>0.7</v>
      </c>
      <c r="L16" s="6"/>
      <c r="M16" s="6"/>
      <c r="N16" s="6">
        <f>276/85</f>
        <v>3.2470588235294118</v>
      </c>
      <c r="O16" s="6">
        <v>0.61</v>
      </c>
      <c r="P16" s="6">
        <v>1.37</v>
      </c>
      <c r="Q16" s="6"/>
      <c r="R16" s="6"/>
      <c r="S16" s="6"/>
      <c r="T16" s="6">
        <f>Z16/K16</f>
        <v>26.83747412008282</v>
      </c>
      <c r="U16" s="6">
        <v>1</v>
      </c>
      <c r="V16" s="6">
        <f>T16</f>
        <v>26.83747412008282</v>
      </c>
      <c r="W16" s="6"/>
      <c r="X16" s="6">
        <v>9.1</v>
      </c>
      <c r="Y16" s="6"/>
      <c r="Z16" s="6">
        <f>O16*100/N16</f>
        <v>18.786231884057973</v>
      </c>
      <c r="AA16" t="s">
        <v>35</v>
      </c>
      <c r="AB16" t="s">
        <v>279</v>
      </c>
    </row>
    <row r="17" spans="1:43" x14ac:dyDescent="0.3">
      <c r="A17" t="s">
        <v>1</v>
      </c>
      <c r="D17" t="s">
        <v>203</v>
      </c>
      <c r="E17" t="s">
        <v>107</v>
      </c>
      <c r="F17" s="6">
        <v>47.261009667024716</v>
      </c>
      <c r="G17" s="6">
        <v>0.31</v>
      </c>
      <c r="H17" s="6"/>
      <c r="I17" s="6">
        <f>500/23</f>
        <v>21.739130434782609</v>
      </c>
      <c r="J17" s="6"/>
      <c r="K17" s="6">
        <v>0.7</v>
      </c>
      <c r="L17" s="6"/>
      <c r="M17" s="6"/>
      <c r="N17" s="6">
        <f>133/80</f>
        <v>1.6625000000000001</v>
      </c>
      <c r="O17" s="6">
        <v>0.55000000000000004</v>
      </c>
      <c r="P17" s="6">
        <v>1.24</v>
      </c>
      <c r="Q17" s="6"/>
      <c r="R17" s="6"/>
      <c r="S17" s="6"/>
      <c r="T17" s="6">
        <f>Z17/K17</f>
        <v>47.261009667024716</v>
      </c>
      <c r="U17" s="6">
        <v>1</v>
      </c>
      <c r="V17" s="6">
        <f t="shared" ref="V17:V19" si="1">T17</f>
        <v>47.261009667024716</v>
      </c>
      <c r="W17" s="6"/>
      <c r="X17" s="6">
        <v>8.1999999999999993</v>
      </c>
      <c r="Y17" s="6"/>
      <c r="Z17" s="6">
        <f>O17*100/N17</f>
        <v>33.082706766917298</v>
      </c>
      <c r="AA17" t="s">
        <v>35</v>
      </c>
    </row>
    <row r="18" spans="1:43" x14ac:dyDescent="0.3">
      <c r="A18" t="s">
        <v>1</v>
      </c>
      <c r="D18" t="s">
        <v>4</v>
      </c>
      <c r="E18" t="s">
        <v>107</v>
      </c>
      <c r="F18" s="6">
        <v>24.285714285714288</v>
      </c>
      <c r="G18" s="6">
        <v>5.74</v>
      </c>
      <c r="H18" s="6"/>
      <c r="I18" s="6">
        <f>500/24.6</f>
        <v>20.325203252032519</v>
      </c>
      <c r="J18" s="6"/>
      <c r="K18" s="6">
        <v>0.7</v>
      </c>
      <c r="L18" s="6"/>
      <c r="M18" s="6"/>
      <c r="N18" s="6">
        <f>418/42</f>
        <v>9.9523809523809526</v>
      </c>
      <c r="O18" s="6">
        <v>1.21</v>
      </c>
      <c r="P18" s="6"/>
      <c r="Q18" s="6"/>
      <c r="R18" s="6"/>
      <c r="S18" s="6"/>
      <c r="T18" s="6">
        <f>Z18/0.7</f>
        <v>24.285714285714288</v>
      </c>
      <c r="U18" s="6">
        <v>1</v>
      </c>
      <c r="V18" s="6">
        <f t="shared" si="1"/>
        <v>24.285714285714288</v>
      </c>
      <c r="W18" s="6"/>
      <c r="X18" s="6"/>
      <c r="Y18" s="6"/>
      <c r="Z18" s="6">
        <v>17</v>
      </c>
      <c r="AA18" t="s">
        <v>46</v>
      </c>
    </row>
    <row r="19" spans="1:43" ht="15" thickBot="1" x14ac:dyDescent="0.35">
      <c r="A19" t="s">
        <v>1</v>
      </c>
      <c r="D19" t="s">
        <v>203</v>
      </c>
      <c r="E19" t="s">
        <v>107</v>
      </c>
      <c r="F19" s="6">
        <v>8.5714285714285712</v>
      </c>
      <c r="G19" s="6"/>
      <c r="H19" s="6"/>
      <c r="I19" s="6">
        <f>500/24.8</f>
        <v>20.161290322580644</v>
      </c>
      <c r="J19" s="6"/>
      <c r="K19" s="6">
        <v>0.7</v>
      </c>
      <c r="L19" s="6"/>
      <c r="M19" s="6"/>
      <c r="N19" s="6">
        <f>418/42</f>
        <v>9.9523809523809526</v>
      </c>
      <c r="O19" s="6">
        <v>0.46</v>
      </c>
      <c r="P19" s="6"/>
      <c r="Q19" s="6"/>
      <c r="R19" s="6"/>
      <c r="S19" s="6"/>
      <c r="T19" s="6">
        <f>Z19/0.7</f>
        <v>8.5714285714285712</v>
      </c>
      <c r="U19" s="6">
        <v>1</v>
      </c>
      <c r="V19" s="6">
        <f t="shared" si="1"/>
        <v>8.5714285714285712</v>
      </c>
      <c r="W19" s="6"/>
      <c r="X19" s="6">
        <v>5.2</v>
      </c>
      <c r="Y19" s="6"/>
      <c r="Z19" s="6">
        <v>6</v>
      </c>
      <c r="AA19" t="s">
        <v>46</v>
      </c>
    </row>
    <row r="20" spans="1:43" x14ac:dyDescent="0.3">
      <c r="A20" s="36" t="s">
        <v>1</v>
      </c>
      <c r="B20" s="37" t="s">
        <v>353</v>
      </c>
      <c r="C20" s="37"/>
      <c r="D20" s="37"/>
      <c r="E20" s="44"/>
      <c r="F20" s="40">
        <v>25.561594202898554</v>
      </c>
      <c r="G20" s="6"/>
      <c r="H20" s="6"/>
      <c r="I20" s="6"/>
      <c r="J20" s="6"/>
      <c r="K20" s="6"/>
      <c r="L20" s="6"/>
      <c r="M20" s="6"/>
      <c r="N20" s="6"/>
      <c r="O20" s="6"/>
      <c r="P20" s="6"/>
      <c r="Q20" s="6"/>
      <c r="R20" s="6"/>
      <c r="S20" s="6"/>
      <c r="T20" s="6"/>
      <c r="U20" s="6"/>
      <c r="V20" s="6">
        <f>MEDIAN(V16:V19)</f>
        <v>25.561594202898554</v>
      </c>
      <c r="W20" s="6"/>
      <c r="X20" s="6"/>
      <c r="Y20" s="6"/>
      <c r="Z20" s="6"/>
    </row>
    <row r="21" spans="1:43" x14ac:dyDescent="0.3">
      <c r="A21" s="46" t="s">
        <v>1</v>
      </c>
      <c r="B21" s="43" t="s">
        <v>211</v>
      </c>
      <c r="C21" s="43"/>
      <c r="D21" s="43"/>
      <c r="E21" s="47"/>
      <c r="F21" s="52">
        <v>26.7389066610626</v>
      </c>
      <c r="G21" s="6"/>
      <c r="H21" s="6"/>
      <c r="I21" s="6"/>
      <c r="J21" s="6"/>
      <c r="K21" s="6"/>
      <c r="L21" s="6"/>
      <c r="M21" s="6"/>
      <c r="N21" s="6"/>
      <c r="O21" s="6"/>
      <c r="P21" s="6"/>
      <c r="Q21" s="6"/>
      <c r="R21" s="6"/>
      <c r="S21" s="6"/>
      <c r="T21" s="6"/>
      <c r="U21" s="6"/>
      <c r="V21" s="6">
        <f>AVERAGE(V16:V19)</f>
        <v>26.7389066610626</v>
      </c>
      <c r="W21" s="6"/>
      <c r="X21" s="6"/>
      <c r="Y21" s="6"/>
      <c r="Z21" s="6"/>
    </row>
    <row r="22" spans="1:43" x14ac:dyDescent="0.3">
      <c r="A22" s="46" t="s">
        <v>1</v>
      </c>
      <c r="B22" s="43" t="s">
        <v>210</v>
      </c>
      <c r="C22" s="43"/>
      <c r="D22" s="43"/>
      <c r="E22" s="47"/>
      <c r="F22" s="52">
        <v>15.887540614153135</v>
      </c>
      <c r="G22" s="6"/>
      <c r="H22" s="6"/>
      <c r="I22" s="6"/>
      <c r="J22" s="6"/>
      <c r="K22" s="6"/>
      <c r="L22" s="6"/>
      <c r="M22" s="6"/>
      <c r="N22" s="6"/>
      <c r="O22" s="6"/>
      <c r="P22" s="6"/>
      <c r="Q22" s="6"/>
      <c r="R22" s="6"/>
      <c r="S22" s="6"/>
      <c r="T22" s="6"/>
      <c r="U22" s="6"/>
      <c r="V22" s="6">
        <f>STDEV(V16:V19)</f>
        <v>15.887540614153135</v>
      </c>
      <c r="W22" s="6"/>
      <c r="X22" s="6"/>
      <c r="Y22" s="6"/>
      <c r="Z22" s="6"/>
    </row>
    <row r="23" spans="1:43" s="53" customFormat="1" ht="15" thickBot="1" x14ac:dyDescent="0.35">
      <c r="A23" s="38" t="s">
        <v>1</v>
      </c>
      <c r="B23" s="39" t="s">
        <v>366</v>
      </c>
      <c r="C23" s="39"/>
      <c r="D23" s="39"/>
      <c r="E23" s="45"/>
      <c r="F23" s="41">
        <v>26.7389066610626</v>
      </c>
      <c r="G23" s="6"/>
      <c r="H23" s="6"/>
      <c r="I23" s="6"/>
      <c r="J23" s="6"/>
      <c r="K23" s="6"/>
      <c r="L23" s="6"/>
      <c r="M23" s="6"/>
      <c r="N23" s="6"/>
      <c r="O23" s="6"/>
      <c r="P23" s="6"/>
      <c r="Q23" s="6"/>
      <c r="R23" s="6"/>
      <c r="S23" s="6"/>
      <c r="T23" s="6"/>
      <c r="U23" s="6">
        <f>SUM(U16:U19)</f>
        <v>4</v>
      </c>
      <c r="V23" s="6">
        <f>((V16*U16)+(V17*U17)+(V18*U18)+(V19*U19))/U23</f>
        <v>26.7389066610626</v>
      </c>
      <c r="W23" s="6"/>
      <c r="X23" s="6"/>
      <c r="Y23" s="6"/>
      <c r="Z23" s="6"/>
      <c r="AA23"/>
      <c r="AB23"/>
      <c r="AC23"/>
      <c r="AD23"/>
      <c r="AE23"/>
      <c r="AF23"/>
      <c r="AG23"/>
      <c r="AH23"/>
      <c r="AI23"/>
      <c r="AJ23"/>
      <c r="AK23"/>
      <c r="AL23"/>
      <c r="AM23"/>
      <c r="AN23"/>
      <c r="AO23"/>
      <c r="AP23"/>
      <c r="AQ23"/>
    </row>
    <row r="24" spans="1:43" x14ac:dyDescent="0.3">
      <c r="F24" s="6"/>
      <c r="G24" s="6"/>
      <c r="H24" s="6"/>
      <c r="I24" s="6"/>
      <c r="J24" s="6"/>
      <c r="K24" s="6"/>
      <c r="L24" s="6"/>
      <c r="M24" s="6"/>
      <c r="N24" s="6"/>
      <c r="O24" s="6"/>
      <c r="P24" s="6"/>
      <c r="Q24" s="6"/>
      <c r="R24" s="6"/>
      <c r="S24" s="6"/>
      <c r="T24" s="6"/>
      <c r="U24" s="6"/>
      <c r="V24" s="6"/>
      <c r="W24" s="6"/>
      <c r="X24" s="6"/>
      <c r="Y24" s="6"/>
      <c r="Z24" s="6"/>
    </row>
    <row r="25" spans="1:43" x14ac:dyDescent="0.3">
      <c r="A25" t="s">
        <v>2</v>
      </c>
      <c r="D25" t="s">
        <v>4</v>
      </c>
      <c r="E25" t="s">
        <v>90</v>
      </c>
      <c r="F25" s="6">
        <v>9.1</v>
      </c>
      <c r="G25" s="6">
        <f>4/7</f>
        <v>0.5714285714285714</v>
      </c>
      <c r="H25" s="6"/>
      <c r="I25" s="6"/>
      <c r="J25" s="6"/>
      <c r="K25" s="6"/>
      <c r="L25" s="6"/>
      <c r="M25" s="6"/>
      <c r="N25" s="6"/>
      <c r="O25" s="6"/>
      <c r="P25" s="6"/>
      <c r="Q25" s="6">
        <v>0.82</v>
      </c>
      <c r="R25" s="6"/>
      <c r="S25" s="6"/>
      <c r="T25" s="6">
        <v>9.1</v>
      </c>
      <c r="U25" s="6">
        <v>1</v>
      </c>
      <c r="V25" s="6">
        <f t="shared" ref="V25:V26" si="2">T25</f>
        <v>9.1</v>
      </c>
      <c r="W25" s="6"/>
      <c r="X25" s="6"/>
      <c r="Y25" s="6"/>
      <c r="Z25" s="6">
        <v>6.4</v>
      </c>
      <c r="AA25" t="s">
        <v>9</v>
      </c>
    </row>
    <row r="26" spans="1:43" x14ac:dyDescent="0.3">
      <c r="A26" t="s">
        <v>2</v>
      </c>
      <c r="D26" t="s">
        <v>4</v>
      </c>
      <c r="E26" t="s">
        <v>90</v>
      </c>
      <c r="F26" s="6">
        <v>7.6</v>
      </c>
      <c r="G26" s="6">
        <f>G25*2</f>
        <v>1.1428571428571428</v>
      </c>
      <c r="H26" s="6"/>
      <c r="I26" s="6"/>
      <c r="J26" s="6"/>
      <c r="K26" s="6"/>
      <c r="L26" s="6"/>
      <c r="M26" s="6"/>
      <c r="N26" s="6"/>
      <c r="O26" s="6"/>
      <c r="P26" s="6"/>
      <c r="Q26" s="6">
        <v>0.67</v>
      </c>
      <c r="R26" s="6"/>
      <c r="S26" s="6"/>
      <c r="T26" s="6">
        <v>7.6</v>
      </c>
      <c r="U26" s="6">
        <v>1</v>
      </c>
      <c r="V26" s="6">
        <f t="shared" si="2"/>
        <v>7.6</v>
      </c>
      <c r="W26" s="6"/>
      <c r="X26" s="6"/>
      <c r="Y26" s="6"/>
      <c r="Z26" s="6">
        <v>5.3</v>
      </c>
      <c r="AA26" t="s">
        <v>9</v>
      </c>
    </row>
    <row r="27" spans="1:43" x14ac:dyDescent="0.3">
      <c r="A27" t="s">
        <v>2</v>
      </c>
      <c r="D27" t="s">
        <v>4</v>
      </c>
      <c r="E27" t="s">
        <v>90</v>
      </c>
      <c r="F27" s="6"/>
      <c r="G27">
        <v>0.71</v>
      </c>
      <c r="H27">
        <f t="shared" ref="H27:H32" si="3">1/0.3</f>
        <v>3.3333333333333335</v>
      </c>
      <c r="J27">
        <v>10.6</v>
      </c>
      <c r="K27">
        <v>0.7</v>
      </c>
      <c r="N27">
        <f t="shared" ref="N27:N32" si="4">J27*1000/365</f>
        <v>29.041095890410958</v>
      </c>
      <c r="O27">
        <v>27.2</v>
      </c>
      <c r="P27">
        <v>17</v>
      </c>
      <c r="W27" t="s">
        <v>356</v>
      </c>
      <c r="X27"/>
      <c r="Y27"/>
      <c r="AA27" t="s">
        <v>44</v>
      </c>
    </row>
    <row r="28" spans="1:43" x14ac:dyDescent="0.3">
      <c r="A28" t="s">
        <v>2</v>
      </c>
      <c r="D28" t="s">
        <v>202</v>
      </c>
      <c r="E28" t="s">
        <v>106</v>
      </c>
      <c r="F28" s="6"/>
      <c r="H28">
        <f t="shared" si="3"/>
        <v>3.3333333333333335</v>
      </c>
      <c r="J28">
        <v>16.5</v>
      </c>
      <c r="K28">
        <v>0.7</v>
      </c>
      <c r="N28">
        <f t="shared" si="4"/>
        <v>45.205479452054796</v>
      </c>
      <c r="O28">
        <v>3.5</v>
      </c>
      <c r="P28">
        <v>2.9</v>
      </c>
      <c r="T28">
        <f>O28*100/(N28/0.7)</f>
        <v>5.419696969696969</v>
      </c>
      <c r="W28" t="s">
        <v>349</v>
      </c>
      <c r="X28"/>
      <c r="Y28"/>
      <c r="AA28" t="s">
        <v>47</v>
      </c>
    </row>
    <row r="29" spans="1:43" x14ac:dyDescent="0.3">
      <c r="A29" t="s">
        <v>2</v>
      </c>
      <c r="D29" t="s">
        <v>4</v>
      </c>
      <c r="E29" t="s">
        <v>108</v>
      </c>
      <c r="F29" s="6">
        <v>11.448997881701159</v>
      </c>
      <c r="G29">
        <v>2</v>
      </c>
      <c r="H29">
        <f t="shared" si="3"/>
        <v>3.3333333333333335</v>
      </c>
      <c r="J29">
        <v>13.6</v>
      </c>
      <c r="K29">
        <v>0.7</v>
      </c>
      <c r="N29">
        <f t="shared" si="4"/>
        <v>37.260273972602739</v>
      </c>
      <c r="O29">
        <f>2.2*1000/361</f>
        <v>6.094182825484765</v>
      </c>
      <c r="P29">
        <v>4.3</v>
      </c>
      <c r="T29">
        <f>O29*100/(N29/0.7)</f>
        <v>11.448997881701159</v>
      </c>
      <c r="U29">
        <v>1</v>
      </c>
      <c r="V29">
        <f t="shared" ref="V29:V40" si="5">T29</f>
        <v>11.448997881701159</v>
      </c>
      <c r="W29" t="s">
        <v>349</v>
      </c>
      <c r="X29"/>
      <c r="Y29"/>
      <c r="AA29" t="s">
        <v>52</v>
      </c>
    </row>
    <row r="30" spans="1:43" x14ac:dyDescent="0.3">
      <c r="A30" t="s">
        <v>2</v>
      </c>
      <c r="D30" t="s">
        <v>4</v>
      </c>
      <c r="E30" t="s">
        <v>107</v>
      </c>
      <c r="F30" s="6">
        <v>31.575943396226414</v>
      </c>
      <c r="G30">
        <v>0.39</v>
      </c>
      <c r="H30">
        <f t="shared" si="3"/>
        <v>3.3333333333333335</v>
      </c>
      <c r="J30">
        <v>10.6</v>
      </c>
      <c r="K30">
        <v>0.7</v>
      </c>
      <c r="N30">
        <f t="shared" si="4"/>
        <v>29.041095890410958</v>
      </c>
      <c r="O30">
        <v>13.1</v>
      </c>
      <c r="P30">
        <v>10.9</v>
      </c>
      <c r="T30">
        <f>O30*100/(N30/0.7)</f>
        <v>31.575943396226414</v>
      </c>
      <c r="U30">
        <v>1</v>
      </c>
      <c r="V30">
        <f t="shared" si="5"/>
        <v>31.575943396226414</v>
      </c>
      <c r="X30"/>
      <c r="Y30"/>
      <c r="AA30" t="s">
        <v>39</v>
      </c>
    </row>
    <row r="31" spans="1:43" x14ac:dyDescent="0.3">
      <c r="A31" t="s">
        <v>2</v>
      </c>
      <c r="D31" t="s">
        <v>4</v>
      </c>
      <c r="E31" t="s">
        <v>107</v>
      </c>
      <c r="F31" s="6">
        <v>32.805235849056601</v>
      </c>
      <c r="H31">
        <f t="shared" si="3"/>
        <v>3.3333333333333335</v>
      </c>
      <c r="J31">
        <v>10.6</v>
      </c>
      <c r="K31">
        <v>0.7</v>
      </c>
      <c r="N31">
        <f t="shared" si="4"/>
        <v>29.041095890410958</v>
      </c>
      <c r="O31">
        <v>13.61</v>
      </c>
      <c r="T31">
        <f>O31*100/(N31/0.7)</f>
        <v>32.805235849056601</v>
      </c>
      <c r="U31">
        <v>1</v>
      </c>
      <c r="V31">
        <f t="shared" si="5"/>
        <v>32.805235849056601</v>
      </c>
      <c r="X31"/>
      <c r="Y31"/>
      <c r="AA31" t="s">
        <v>45</v>
      </c>
    </row>
    <row r="32" spans="1:43" x14ac:dyDescent="0.3">
      <c r="A32" t="s">
        <v>2</v>
      </c>
      <c r="D32" t="s">
        <v>203</v>
      </c>
      <c r="E32" t="s">
        <v>107</v>
      </c>
      <c r="F32" s="6">
        <v>29.310188679245282</v>
      </c>
      <c r="H32">
        <f t="shared" si="3"/>
        <v>3.3333333333333335</v>
      </c>
      <c r="J32">
        <v>10.6</v>
      </c>
      <c r="K32">
        <v>0.7</v>
      </c>
      <c r="N32">
        <f t="shared" si="4"/>
        <v>29.041095890410958</v>
      </c>
      <c r="O32">
        <v>12.16</v>
      </c>
      <c r="T32">
        <f>O32*100/(N32/0.7)</f>
        <v>29.310188679245282</v>
      </c>
      <c r="U32">
        <v>1</v>
      </c>
      <c r="V32">
        <f t="shared" si="5"/>
        <v>29.310188679245282</v>
      </c>
      <c r="X32"/>
      <c r="Y32"/>
      <c r="AA32" t="s">
        <v>45</v>
      </c>
    </row>
    <row r="33" spans="1:43" x14ac:dyDescent="0.3">
      <c r="A33" t="s">
        <v>2</v>
      </c>
      <c r="D33" t="s">
        <v>133</v>
      </c>
      <c r="E33" t="s">
        <v>107</v>
      </c>
      <c r="F33" s="6">
        <v>33.5345405767941</v>
      </c>
      <c r="K33">
        <v>0.7</v>
      </c>
      <c r="T33">
        <f>Z33/K32</f>
        <v>33.5345405767941</v>
      </c>
      <c r="U33">
        <v>1</v>
      </c>
      <c r="V33">
        <f t="shared" si="5"/>
        <v>33.5345405767941</v>
      </c>
      <c r="X33"/>
      <c r="Y33">
        <v>31.7</v>
      </c>
      <c r="Z33">
        <f>10*100/(61.5-18.9)</f>
        <v>23.474178403755868</v>
      </c>
      <c r="AA33" t="s">
        <v>131</v>
      </c>
    </row>
    <row r="34" spans="1:43" x14ac:dyDescent="0.3">
      <c r="A34" t="s">
        <v>2</v>
      </c>
      <c r="D34" t="s">
        <v>132</v>
      </c>
      <c r="E34" t="s">
        <v>107</v>
      </c>
      <c r="F34" s="6">
        <v>38.327526132404181</v>
      </c>
      <c r="K34">
        <v>0.7</v>
      </c>
      <c r="T34">
        <f>Z34/K33</f>
        <v>38.327526132404181</v>
      </c>
      <c r="U34">
        <v>1</v>
      </c>
      <c r="V34">
        <f t="shared" si="5"/>
        <v>38.327526132404181</v>
      </c>
      <c r="X34"/>
      <c r="Y34">
        <v>37.1</v>
      </c>
      <c r="Z34">
        <f>11*100/(59.9-18.9)</f>
        <v>26.829268292682926</v>
      </c>
      <c r="AA34" t="s">
        <v>131</v>
      </c>
    </row>
    <row r="35" spans="1:43" x14ac:dyDescent="0.3">
      <c r="A35" t="s">
        <v>2</v>
      </c>
      <c r="D35" t="s">
        <v>3</v>
      </c>
      <c r="E35" t="s">
        <v>172</v>
      </c>
      <c r="F35" s="6">
        <v>14.520113207547169</v>
      </c>
      <c r="H35">
        <f>1/0.3</f>
        <v>3.3333333333333335</v>
      </c>
      <c r="J35">
        <v>10.6</v>
      </c>
      <c r="K35">
        <v>0.7</v>
      </c>
      <c r="N35">
        <f>J35*1000/365</f>
        <v>29.041095890410958</v>
      </c>
      <c r="O35">
        <f>251*24/1000</f>
        <v>6.024</v>
      </c>
      <c r="Q35">
        <f>2590*24/1000</f>
        <v>62.16</v>
      </c>
      <c r="T35">
        <f>O35*100/(N35/0.7)</f>
        <v>14.520113207547169</v>
      </c>
      <c r="U35">
        <v>4</v>
      </c>
      <c r="V35">
        <f t="shared" si="5"/>
        <v>14.520113207547169</v>
      </c>
      <c r="X35"/>
      <c r="Y35">
        <v>9.1999999999999993</v>
      </c>
      <c r="AA35" t="s">
        <v>181</v>
      </c>
    </row>
    <row r="36" spans="1:43" x14ac:dyDescent="0.3">
      <c r="A36" t="s">
        <v>185</v>
      </c>
      <c r="D36" t="s">
        <v>3</v>
      </c>
      <c r="E36" t="s">
        <v>172</v>
      </c>
      <c r="F36" s="6">
        <v>13.514049586776858</v>
      </c>
      <c r="H36">
        <f>1/0.3</f>
        <v>3.3333333333333335</v>
      </c>
      <c r="J36">
        <v>12.1</v>
      </c>
      <c r="K36">
        <v>0.7</v>
      </c>
      <c r="N36">
        <f>J36*1000/365</f>
        <v>33.150684931506852</v>
      </c>
      <c r="O36">
        <v>6.4</v>
      </c>
      <c r="T36">
        <f>O36*100/(N36/0.7)</f>
        <v>13.514049586776858</v>
      </c>
      <c r="U36">
        <v>1</v>
      </c>
      <c r="V36">
        <f t="shared" si="5"/>
        <v>13.514049586776858</v>
      </c>
      <c r="X36"/>
      <c r="Y36"/>
      <c r="AA36" t="s">
        <v>186</v>
      </c>
    </row>
    <row r="37" spans="1:43" x14ac:dyDescent="0.3">
      <c r="A37" t="s">
        <v>259</v>
      </c>
      <c r="D37" t="s">
        <v>3</v>
      </c>
      <c r="E37" t="s">
        <v>271</v>
      </c>
      <c r="F37" s="6">
        <v>20.761245674740483</v>
      </c>
      <c r="L37">
        <v>11.9</v>
      </c>
      <c r="M37">
        <v>8.33</v>
      </c>
      <c r="O37">
        <v>2.1</v>
      </c>
      <c r="S37">
        <v>1.7294117647058824</v>
      </c>
      <c r="T37">
        <v>20.761245674740483</v>
      </c>
      <c r="U37">
        <v>1</v>
      </c>
      <c r="V37">
        <f t="shared" si="5"/>
        <v>20.761245674740483</v>
      </c>
      <c r="X37"/>
      <c r="Y37"/>
      <c r="AA37" t="s">
        <v>453</v>
      </c>
    </row>
    <row r="38" spans="1:43" x14ac:dyDescent="0.3">
      <c r="A38" t="s">
        <v>259</v>
      </c>
      <c r="B38" t="s">
        <v>273</v>
      </c>
      <c r="D38" t="s">
        <v>3</v>
      </c>
      <c r="E38" t="s">
        <v>271</v>
      </c>
      <c r="F38" s="6">
        <v>18.783984181908053</v>
      </c>
      <c r="L38">
        <v>11.9</v>
      </c>
      <c r="M38">
        <v>8.33</v>
      </c>
      <c r="O38">
        <v>1.9</v>
      </c>
      <c r="S38">
        <v>1.5647058823529409</v>
      </c>
      <c r="T38">
        <v>18.783984181908053</v>
      </c>
      <c r="U38">
        <v>1</v>
      </c>
      <c r="V38">
        <f t="shared" si="5"/>
        <v>18.783984181908053</v>
      </c>
      <c r="X38"/>
      <c r="Y38"/>
      <c r="AA38" t="s">
        <v>272</v>
      </c>
    </row>
    <row r="39" spans="1:43" x14ac:dyDescent="0.3">
      <c r="A39" t="s">
        <v>259</v>
      </c>
      <c r="D39" t="s">
        <v>3</v>
      </c>
      <c r="E39" t="s">
        <v>248</v>
      </c>
      <c r="F39" s="6">
        <v>41.63553259141495</v>
      </c>
      <c r="L39">
        <v>14.8</v>
      </c>
      <c r="M39">
        <v>10.36</v>
      </c>
      <c r="O39">
        <v>14.35</v>
      </c>
      <c r="S39">
        <v>4.3134411764705884</v>
      </c>
      <c r="T39">
        <v>41.63553259141495</v>
      </c>
      <c r="U39">
        <v>1</v>
      </c>
      <c r="V39">
        <f t="shared" si="5"/>
        <v>41.63553259141495</v>
      </c>
      <c r="X39"/>
      <c r="Y39"/>
      <c r="AA39" t="s">
        <v>274</v>
      </c>
    </row>
    <row r="40" spans="1:43" ht="15" thickBot="1" x14ac:dyDescent="0.35">
      <c r="A40" t="s">
        <v>259</v>
      </c>
      <c r="D40" t="s">
        <v>3</v>
      </c>
      <c r="E40" t="s">
        <v>248</v>
      </c>
      <c r="F40" s="6">
        <v>41.00688924218337</v>
      </c>
      <c r="L40">
        <v>11.1</v>
      </c>
      <c r="M40">
        <v>7.77</v>
      </c>
      <c r="O40">
        <v>10.6</v>
      </c>
      <c r="S40">
        <v>3.1862352941176475</v>
      </c>
      <c r="T40">
        <v>41.00688924218337</v>
      </c>
      <c r="U40">
        <v>1</v>
      </c>
      <c r="V40">
        <f t="shared" si="5"/>
        <v>41.00688924218337</v>
      </c>
      <c r="X40"/>
      <c r="Y40"/>
      <c r="AA40" t="s">
        <v>274</v>
      </c>
    </row>
    <row r="41" spans="1:43" x14ac:dyDescent="0.3">
      <c r="A41" s="36" t="s">
        <v>259</v>
      </c>
      <c r="B41" s="37" t="s">
        <v>353</v>
      </c>
      <c r="C41" s="37"/>
      <c r="D41" s="37"/>
      <c r="E41" s="37"/>
      <c r="F41" s="40">
        <v>25.035717176992883</v>
      </c>
      <c r="V41">
        <f>MEDIAN(V25:V40)</f>
        <v>25.035717176992883</v>
      </c>
      <c r="X41"/>
      <c r="Y41"/>
    </row>
    <row r="42" spans="1:43" x14ac:dyDescent="0.3">
      <c r="A42" s="46"/>
      <c r="B42" s="43" t="s">
        <v>211</v>
      </c>
      <c r="C42" s="43"/>
      <c r="D42" s="43"/>
      <c r="E42" s="43"/>
      <c r="F42" s="52">
        <v>24.566017642857048</v>
      </c>
      <c r="V42">
        <f>AVERAGE(V25:V40)</f>
        <v>24.566017642857048</v>
      </c>
      <c r="X42"/>
      <c r="Y42"/>
    </row>
    <row r="43" spans="1:43" ht="15" thickBot="1" x14ac:dyDescent="0.35">
      <c r="A43" s="38" t="s">
        <v>259</v>
      </c>
      <c r="B43" s="39" t="s">
        <v>210</v>
      </c>
      <c r="C43" s="39"/>
      <c r="D43" s="39"/>
      <c r="E43" s="39"/>
      <c r="F43" s="41">
        <v>12.219433172989357</v>
      </c>
      <c r="V43">
        <f>STDEV(V25:V40)</f>
        <v>12.219433172989357</v>
      </c>
      <c r="X43"/>
      <c r="Y43"/>
    </row>
    <row r="44" spans="1:43" s="54" customFormat="1" ht="15" thickBot="1" x14ac:dyDescent="0.35">
      <c r="A44" s="59" t="s">
        <v>259</v>
      </c>
      <c r="B44" s="60" t="s">
        <v>366</v>
      </c>
      <c r="C44" s="61"/>
      <c r="D44" s="61"/>
      <c r="E44" s="62"/>
      <c r="F44" s="63">
        <v>22.793210977802367</v>
      </c>
      <c r="G44"/>
      <c r="H44"/>
      <c r="I44"/>
      <c r="J44"/>
      <c r="K44"/>
      <c r="L44"/>
      <c r="M44"/>
      <c r="N44"/>
      <c r="O44"/>
      <c r="P44"/>
      <c r="Q44"/>
      <c r="R44"/>
      <c r="S44"/>
      <c r="T44"/>
      <c r="U44">
        <f>SUM(U29:U43)</f>
        <v>15</v>
      </c>
      <c r="V44"/>
      <c r="W44"/>
      <c r="X44"/>
      <c r="Y44"/>
      <c r="Z44"/>
      <c r="AA44"/>
      <c r="AB44"/>
      <c r="AC44"/>
      <c r="AD44"/>
      <c r="AE44"/>
      <c r="AF44"/>
      <c r="AG44"/>
      <c r="AH44"/>
      <c r="AI44"/>
      <c r="AJ44"/>
      <c r="AK44"/>
      <c r="AL44"/>
      <c r="AM44"/>
      <c r="AN44"/>
      <c r="AO44"/>
      <c r="AP44"/>
      <c r="AQ44"/>
    </row>
    <row r="45" spans="1:43" s="53" customFormat="1" x14ac:dyDescent="0.3">
      <c r="A45" s="46" t="s">
        <v>377</v>
      </c>
      <c r="B45" s="43" t="s">
        <v>353</v>
      </c>
      <c r="C45" s="55"/>
      <c r="D45" s="43"/>
      <c r="E45" s="43"/>
      <c r="F45" s="52">
        <v>25.561594202898554</v>
      </c>
      <c r="G45"/>
      <c r="H45"/>
      <c r="I45"/>
      <c r="J45"/>
      <c r="K45"/>
      <c r="L45"/>
      <c r="M45"/>
      <c r="N45"/>
      <c r="O45"/>
      <c r="P45"/>
      <c r="Q45"/>
      <c r="R45"/>
      <c r="S45"/>
      <c r="T45"/>
      <c r="U45"/>
      <c r="V45">
        <f>MEDIAN(V16:V19,V25:V40)</f>
        <v>25.561594202898554</v>
      </c>
      <c r="W45"/>
      <c r="X45"/>
      <c r="Y45"/>
      <c r="Z45"/>
      <c r="AA45"/>
      <c r="AB45"/>
      <c r="AC45"/>
      <c r="AD45"/>
      <c r="AE45"/>
      <c r="AF45"/>
      <c r="AG45"/>
      <c r="AH45"/>
      <c r="AI45"/>
      <c r="AJ45"/>
      <c r="AK45"/>
      <c r="AL45"/>
      <c r="AM45"/>
      <c r="AN45"/>
      <c r="AO45"/>
      <c r="AP45"/>
      <c r="AQ45"/>
    </row>
    <row r="46" spans="1:43" s="53" customFormat="1" x14ac:dyDescent="0.3">
      <c r="A46" s="46" t="s">
        <v>377</v>
      </c>
      <c r="B46" s="43" t="s">
        <v>211</v>
      </c>
      <c r="C46" s="55"/>
      <c r="D46" s="43"/>
      <c r="E46" s="43"/>
      <c r="F46" s="52">
        <v>25.048881869124948</v>
      </c>
      <c r="G46"/>
      <c r="H46"/>
      <c r="I46"/>
      <c r="J46"/>
      <c r="K46"/>
      <c r="L46"/>
      <c r="M46"/>
      <c r="N46"/>
      <c r="O46"/>
      <c r="P46"/>
      <c r="Q46"/>
      <c r="R46"/>
      <c r="S46"/>
      <c r="T46"/>
      <c r="U46"/>
      <c r="V46">
        <f>AVERAGE(V16:V19,V25:V40)</f>
        <v>25.048881869124948</v>
      </c>
      <c r="W46"/>
      <c r="X46"/>
      <c r="Y46"/>
      <c r="Z46"/>
      <c r="AA46"/>
      <c r="AB46"/>
      <c r="AC46"/>
      <c r="AD46"/>
      <c r="AE46"/>
      <c r="AF46"/>
      <c r="AG46"/>
      <c r="AH46"/>
      <c r="AI46"/>
      <c r="AJ46"/>
      <c r="AK46"/>
      <c r="AL46"/>
      <c r="AM46"/>
      <c r="AN46"/>
      <c r="AO46"/>
      <c r="AP46"/>
      <c r="AQ46"/>
    </row>
    <row r="47" spans="1:43" s="53" customFormat="1" ht="15" thickBot="1" x14ac:dyDescent="0.35">
      <c r="A47" s="38" t="s">
        <v>377</v>
      </c>
      <c r="B47" s="39" t="s">
        <v>366</v>
      </c>
      <c r="C47" s="55"/>
      <c r="D47" s="39"/>
      <c r="E47" s="39"/>
      <c r="F47" s="41">
        <v>23.544772060328125</v>
      </c>
      <c r="G47"/>
      <c r="H47"/>
      <c r="I47"/>
      <c r="J47"/>
      <c r="K47"/>
      <c r="L47"/>
      <c r="M47"/>
      <c r="N47"/>
      <c r="O47"/>
      <c r="P47"/>
      <c r="Q47"/>
      <c r="R47"/>
      <c r="S47"/>
      <c r="T47"/>
      <c r="U47" s="6">
        <f>U23+U44</f>
        <v>19</v>
      </c>
      <c r="V47" t="e">
        <f>((V23*U23)+(#REF!*#REF!))/U47</f>
        <v>#REF!</v>
      </c>
      <c r="W47"/>
      <c r="X47"/>
      <c r="Y47"/>
      <c r="Z47"/>
      <c r="AA47"/>
      <c r="AB47"/>
      <c r="AC47"/>
      <c r="AD47"/>
      <c r="AE47"/>
      <c r="AF47"/>
      <c r="AG47"/>
      <c r="AH47"/>
      <c r="AI47"/>
      <c r="AJ47"/>
      <c r="AK47"/>
      <c r="AL47"/>
      <c r="AM47"/>
      <c r="AN47"/>
      <c r="AO47"/>
      <c r="AP47"/>
      <c r="AQ47"/>
    </row>
    <row r="48" spans="1:43" ht="15" thickBot="1" x14ac:dyDescent="0.35">
      <c r="X48"/>
      <c r="Y48"/>
    </row>
    <row r="49" spans="1:25" ht="15" thickBot="1" x14ac:dyDescent="0.35">
      <c r="A49" s="79" t="s">
        <v>355</v>
      </c>
      <c r="B49" s="57"/>
      <c r="C49" s="57"/>
      <c r="D49" s="57"/>
      <c r="E49" s="57"/>
      <c r="F49" s="58"/>
      <c r="X49"/>
      <c r="Y49"/>
    </row>
    <row r="50" spans="1:25" x14ac:dyDescent="0.3">
      <c r="X50"/>
      <c r="Y50"/>
    </row>
    <row r="51" spans="1:25" x14ac:dyDescent="0.3">
      <c r="A51" t="s">
        <v>259</v>
      </c>
      <c r="B51" t="s">
        <v>251</v>
      </c>
      <c r="D51" t="s">
        <v>3</v>
      </c>
      <c r="E51" t="s">
        <v>265</v>
      </c>
      <c r="I51" t="s">
        <v>266</v>
      </c>
      <c r="J51" t="s">
        <v>267</v>
      </c>
      <c r="K51" t="s">
        <v>251</v>
      </c>
      <c r="L51">
        <v>12.6</v>
      </c>
      <c r="M51">
        <v>8.8199999999999985</v>
      </c>
      <c r="O51">
        <v>2</v>
      </c>
      <c r="S51">
        <v>0.6011764705882352</v>
      </c>
      <c r="T51">
        <v>6.8160597572362285</v>
      </c>
      <c r="W51" t="s">
        <v>350</v>
      </c>
      <c r="X51"/>
      <c r="Y51"/>
    </row>
    <row r="52" spans="1:25" x14ac:dyDescent="0.3">
      <c r="X52"/>
      <c r="Y52"/>
    </row>
    <row r="53" spans="1:25" x14ac:dyDescent="0.3">
      <c r="X53"/>
      <c r="Y53"/>
    </row>
    <row r="54" spans="1:25" x14ac:dyDescent="0.3">
      <c r="D54" t="s">
        <v>201</v>
      </c>
      <c r="E54" t="s">
        <v>109</v>
      </c>
      <c r="G54" t="s">
        <v>6</v>
      </c>
      <c r="O54" t="s">
        <v>7</v>
      </c>
      <c r="X54"/>
      <c r="Y54"/>
    </row>
    <row r="55" spans="1:25" x14ac:dyDescent="0.3">
      <c r="X55"/>
      <c r="Y55"/>
    </row>
    <row r="56" spans="1:25" x14ac:dyDescent="0.3">
      <c r="X56"/>
      <c r="Y56"/>
    </row>
    <row r="57" spans="1:25" x14ac:dyDescent="0.3">
      <c r="X57"/>
      <c r="Y57"/>
    </row>
    <row r="58" spans="1:25" x14ac:dyDescent="0.3">
      <c r="X58"/>
      <c r="Y58"/>
    </row>
    <row r="59" spans="1:25" x14ac:dyDescent="0.3">
      <c r="X59"/>
      <c r="Y59"/>
    </row>
    <row r="60" spans="1:25" x14ac:dyDescent="0.3">
      <c r="X60"/>
      <c r="Y60"/>
    </row>
    <row r="61" spans="1:25" x14ac:dyDescent="0.3">
      <c r="X61"/>
      <c r="Y61"/>
    </row>
    <row r="62" spans="1:25" x14ac:dyDescent="0.3">
      <c r="X62"/>
      <c r="Y62"/>
    </row>
    <row r="63" spans="1:25" x14ac:dyDescent="0.3">
      <c r="X63"/>
      <c r="Y63"/>
    </row>
    <row r="64" spans="1:25" x14ac:dyDescent="0.3">
      <c r="X64"/>
      <c r="Y64"/>
    </row>
    <row r="65" spans="24:25" x14ac:dyDescent="0.3">
      <c r="X65"/>
      <c r="Y65"/>
    </row>
    <row r="66" spans="24:25" x14ac:dyDescent="0.3">
      <c r="X66"/>
      <c r="Y66"/>
    </row>
    <row r="67" spans="24:25" x14ac:dyDescent="0.3">
      <c r="X67"/>
      <c r="Y67"/>
    </row>
    <row r="68" spans="24:25" x14ac:dyDescent="0.3">
      <c r="X68"/>
      <c r="Y68"/>
    </row>
    <row r="69" spans="24:25" x14ac:dyDescent="0.3">
      <c r="X69"/>
      <c r="Y69"/>
    </row>
    <row r="70" spans="24:25" x14ac:dyDescent="0.3">
      <c r="X70"/>
      <c r="Y70"/>
    </row>
    <row r="71" spans="24:25" x14ac:dyDescent="0.3">
      <c r="X71"/>
      <c r="Y71"/>
    </row>
    <row r="72" spans="24:25" x14ac:dyDescent="0.3">
      <c r="X72"/>
      <c r="Y72"/>
    </row>
    <row r="73" spans="24:25" x14ac:dyDescent="0.3">
      <c r="X73"/>
      <c r="Y73"/>
    </row>
    <row r="74" spans="24:25" x14ac:dyDescent="0.3">
      <c r="X74"/>
      <c r="Y74"/>
    </row>
    <row r="75" spans="24:25" x14ac:dyDescent="0.3">
      <c r="X75"/>
      <c r="Y75"/>
    </row>
    <row r="76" spans="24:25" x14ac:dyDescent="0.3">
      <c r="X76"/>
      <c r="Y76"/>
    </row>
    <row r="77" spans="24:25" x14ac:dyDescent="0.3">
      <c r="X77"/>
      <c r="Y77"/>
    </row>
    <row r="78" spans="24:25" x14ac:dyDescent="0.3">
      <c r="X78"/>
      <c r="Y78"/>
    </row>
    <row r="79" spans="24:25" x14ac:dyDescent="0.3">
      <c r="X79"/>
      <c r="Y79"/>
    </row>
    <row r="80" spans="24:25" x14ac:dyDescent="0.3">
      <c r="X80"/>
      <c r="Y80"/>
    </row>
    <row r="81" spans="24:25" x14ac:dyDescent="0.3">
      <c r="X81"/>
      <c r="Y81"/>
    </row>
    <row r="82" spans="24:25" x14ac:dyDescent="0.3">
      <c r="X82"/>
      <c r="Y82"/>
    </row>
    <row r="118" spans="1:26" x14ac:dyDescent="0.3">
      <c r="A118" s="9"/>
      <c r="B118" s="9"/>
      <c r="D118" s="9"/>
      <c r="E118" s="10"/>
      <c r="G118" s="8"/>
      <c r="H118" s="8"/>
      <c r="I118" s="8"/>
      <c r="J118" s="9"/>
      <c r="K118" s="9"/>
      <c r="L118" s="9"/>
      <c r="M118" s="9"/>
      <c r="N118" s="11"/>
      <c r="O118" s="12"/>
      <c r="P118" s="9"/>
      <c r="Y118" s="14"/>
      <c r="Z118" s="13"/>
    </row>
    <row r="119" spans="1:26" x14ac:dyDescent="0.3">
      <c r="A119" s="9"/>
      <c r="B119" s="9"/>
      <c r="D119" s="9"/>
      <c r="E119" s="10"/>
      <c r="G119" s="9"/>
      <c r="H119" s="9"/>
      <c r="I119" s="9"/>
      <c r="J119" s="9"/>
      <c r="K119" s="9"/>
      <c r="L119" s="9"/>
      <c r="M119" s="9"/>
      <c r="N119" s="9"/>
      <c r="O119" s="12"/>
      <c r="P119" s="9"/>
      <c r="Y119" s="14"/>
      <c r="Z119" s="13"/>
    </row>
    <row r="120" spans="1:26" x14ac:dyDescent="0.3">
      <c r="Y120" s="14"/>
      <c r="Z120" s="13"/>
    </row>
    <row r="121" spans="1:26" x14ac:dyDescent="0.3">
      <c r="Y121" s="14"/>
      <c r="Z121" s="13"/>
    </row>
    <row r="122" spans="1:26" x14ac:dyDescent="0.3">
      <c r="Y122" s="14"/>
      <c r="Z122" s="13"/>
    </row>
    <row r="123" spans="1:26" x14ac:dyDescent="0.3">
      <c r="Y123" s="14"/>
      <c r="Z123" s="13"/>
    </row>
    <row r="124" spans="1:26" x14ac:dyDescent="0.3">
      <c r="Y124" s="14"/>
      <c r="Z124" s="13"/>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39"/>
  <sheetViews>
    <sheetView zoomScaleNormal="100" workbookViewId="0">
      <pane xSplit="5" ySplit="3" topLeftCell="R34" activePane="bottomRight" state="frozen"/>
      <selection pane="topRight" activeCell="E1" sqref="E1"/>
      <selection pane="bottomLeft" activeCell="A4" sqref="A4"/>
      <selection pane="bottomRight" activeCell="X45" sqref="X45"/>
    </sheetView>
  </sheetViews>
  <sheetFormatPr defaultRowHeight="14.4" x14ac:dyDescent="0.3"/>
  <cols>
    <col min="1" max="1" width="11" customWidth="1"/>
    <col min="2" max="2" width="11.33203125" customWidth="1"/>
    <col min="3" max="3" width="16.33203125" customWidth="1"/>
    <col min="4" max="4" width="18.44140625" style="1" customWidth="1"/>
    <col min="5" max="5" width="16.44140625" style="7" customWidth="1"/>
    <col min="6" max="6" width="13.6640625" style="1" customWidth="1"/>
    <col min="7" max="7" width="10" customWidth="1"/>
    <col min="8" max="11" width="17.88671875" customWidth="1"/>
    <col min="12" max="12" width="13.109375" customWidth="1"/>
    <col min="19" max="19" width="10.44140625" bestFit="1" customWidth="1"/>
    <col min="20" max="20" width="16.44140625" style="7" customWidth="1"/>
    <col min="21" max="21" width="16.44140625" customWidth="1"/>
    <col min="22" max="22" width="16.44140625" style="7" customWidth="1"/>
    <col min="23" max="24" width="16.6640625" customWidth="1"/>
    <col min="30" max="30" width="30.109375" customWidth="1"/>
  </cols>
  <sheetData>
    <row r="1" spans="1:48" x14ac:dyDescent="0.3">
      <c r="D1"/>
      <c r="E1"/>
      <c r="F1"/>
      <c r="L1" t="s">
        <v>197</v>
      </c>
      <c r="M1" t="s">
        <v>197</v>
      </c>
      <c r="N1" t="s">
        <v>197</v>
      </c>
      <c r="T1"/>
      <c r="V1"/>
    </row>
    <row r="2" spans="1:48" ht="67.5" customHeight="1" x14ac:dyDescent="0.3">
      <c r="B2" t="s">
        <v>22</v>
      </c>
      <c r="C2" t="s">
        <v>111</v>
      </c>
      <c r="D2" t="s">
        <v>244</v>
      </c>
      <c r="E2" s="27" t="s">
        <v>337</v>
      </c>
      <c r="F2" t="s">
        <v>192</v>
      </c>
      <c r="G2" t="s">
        <v>194</v>
      </c>
      <c r="H2" t="s">
        <v>212</v>
      </c>
      <c r="I2" t="s">
        <v>242</v>
      </c>
      <c r="J2" t="s">
        <v>243</v>
      </c>
      <c r="K2" t="s">
        <v>199</v>
      </c>
      <c r="L2" t="s">
        <v>21</v>
      </c>
      <c r="M2" t="s">
        <v>21</v>
      </c>
      <c r="N2" t="s">
        <v>21</v>
      </c>
      <c r="O2" t="s">
        <v>73</v>
      </c>
      <c r="P2" t="s">
        <v>78</v>
      </c>
      <c r="Q2" t="s">
        <v>119</v>
      </c>
      <c r="S2" t="s">
        <v>245</v>
      </c>
      <c r="T2" t="s">
        <v>27</v>
      </c>
      <c r="U2" t="s">
        <v>365</v>
      </c>
      <c r="V2" s="27" t="s">
        <v>337</v>
      </c>
      <c r="W2" t="s">
        <v>213</v>
      </c>
      <c r="X2" t="s">
        <v>364</v>
      </c>
      <c r="AD2" t="s">
        <v>12</v>
      </c>
    </row>
    <row r="3" spans="1:48" x14ac:dyDescent="0.3">
      <c r="D3"/>
      <c r="E3" s="28" t="s">
        <v>241</v>
      </c>
      <c r="F3" t="s">
        <v>193</v>
      </c>
      <c r="G3" t="s">
        <v>195</v>
      </c>
      <c r="H3" t="s">
        <v>196</v>
      </c>
      <c r="I3" t="s">
        <v>246</v>
      </c>
      <c r="J3" t="s">
        <v>246</v>
      </c>
      <c r="K3" t="s">
        <v>198</v>
      </c>
      <c r="L3" t="s">
        <v>24</v>
      </c>
      <c r="M3" t="s">
        <v>25</v>
      </c>
      <c r="N3" t="s">
        <v>26</v>
      </c>
      <c r="O3" t="s">
        <v>117</v>
      </c>
      <c r="P3" t="s">
        <v>118</v>
      </c>
      <c r="Q3" t="s">
        <v>120</v>
      </c>
      <c r="R3" t="s">
        <v>260</v>
      </c>
      <c r="S3" t="s">
        <v>247</v>
      </c>
      <c r="T3"/>
      <c r="V3" s="28" t="s">
        <v>241</v>
      </c>
    </row>
    <row r="4" spans="1:48" x14ac:dyDescent="0.3">
      <c r="A4" t="s">
        <v>0</v>
      </c>
      <c r="B4" t="s">
        <v>23</v>
      </c>
      <c r="C4" t="s">
        <v>107</v>
      </c>
      <c r="D4"/>
      <c r="E4" s="6">
        <v>29.092920353982301</v>
      </c>
      <c r="F4"/>
      <c r="L4" s="6">
        <v>4.84</v>
      </c>
      <c r="M4" s="6">
        <f>11.3*4.8</f>
        <v>54.24</v>
      </c>
      <c r="N4" s="6">
        <f>24.5*4.8</f>
        <v>117.6</v>
      </c>
      <c r="O4" s="6">
        <v>15.78</v>
      </c>
      <c r="P4" s="6"/>
      <c r="Q4" s="6"/>
      <c r="R4" s="6"/>
      <c r="S4" s="6"/>
      <c r="T4" s="6">
        <f>O4*100/M4</f>
        <v>29.092920353982301</v>
      </c>
      <c r="U4">
        <v>1</v>
      </c>
      <c r="V4" s="6">
        <f>T4</f>
        <v>29.092920353982301</v>
      </c>
      <c r="X4" t="s">
        <v>216</v>
      </c>
    </row>
    <row r="5" spans="1:48" x14ac:dyDescent="0.3">
      <c r="A5" t="s">
        <v>0</v>
      </c>
      <c r="B5">
        <v>0.15</v>
      </c>
      <c r="C5" t="s">
        <v>107</v>
      </c>
      <c r="D5"/>
      <c r="E5" s="6">
        <v>42.50917584250918</v>
      </c>
      <c r="F5"/>
      <c r="L5" s="6">
        <v>3.7</v>
      </c>
      <c r="M5" s="6">
        <f>8.1*3.7</f>
        <v>29.97</v>
      </c>
      <c r="N5" s="6">
        <f>20.4*3.7</f>
        <v>75.48</v>
      </c>
      <c r="O5" s="6">
        <v>12.74</v>
      </c>
      <c r="P5" s="6"/>
      <c r="Q5" s="6"/>
      <c r="R5" s="6"/>
      <c r="S5" s="6"/>
      <c r="T5" s="6">
        <f>O5*100/M5</f>
        <v>42.50917584250918</v>
      </c>
      <c r="U5">
        <v>1</v>
      </c>
      <c r="V5" s="6">
        <f t="shared" ref="V5:V9" si="0">T5</f>
        <v>42.50917584250918</v>
      </c>
      <c r="X5" t="s">
        <v>216</v>
      </c>
    </row>
    <row r="6" spans="1:48" x14ac:dyDescent="0.3">
      <c r="A6" t="s">
        <v>0</v>
      </c>
      <c r="B6">
        <v>0.158</v>
      </c>
      <c r="C6" t="s">
        <v>107</v>
      </c>
      <c r="D6"/>
      <c r="E6" s="6">
        <v>34.142857142857146</v>
      </c>
      <c r="F6"/>
      <c r="K6">
        <v>0.7</v>
      </c>
      <c r="L6" s="6">
        <f>51.6-7.7</f>
        <v>43.9</v>
      </c>
      <c r="M6" s="6"/>
      <c r="N6" s="6">
        <v>43</v>
      </c>
      <c r="O6" s="6">
        <v>12.77</v>
      </c>
      <c r="P6" s="6"/>
      <c r="Q6" s="6"/>
      <c r="R6" s="6"/>
      <c r="S6" s="6"/>
      <c r="T6" s="6">
        <f>W6/K6</f>
        <v>34.142857142857146</v>
      </c>
      <c r="U6">
        <v>1</v>
      </c>
      <c r="V6" s="6">
        <f t="shared" si="0"/>
        <v>34.142857142857146</v>
      </c>
      <c r="W6">
        <v>23.9</v>
      </c>
      <c r="X6" t="s">
        <v>446</v>
      </c>
    </row>
    <row r="7" spans="1:48" ht="13.95" customHeight="1" x14ac:dyDescent="0.3">
      <c r="A7" t="s">
        <v>255</v>
      </c>
      <c r="B7" t="s">
        <v>250</v>
      </c>
      <c r="C7" t="s">
        <v>253</v>
      </c>
      <c r="D7" t="s">
        <v>254</v>
      </c>
      <c r="E7" s="6">
        <v>30.516572111077934</v>
      </c>
      <c r="F7"/>
      <c r="I7">
        <v>19.7</v>
      </c>
      <c r="J7">
        <v>13.79</v>
      </c>
      <c r="L7" s="6"/>
      <c r="M7" s="6"/>
      <c r="N7" s="6"/>
      <c r="O7" s="6">
        <v>14</v>
      </c>
      <c r="P7" s="6"/>
      <c r="Q7" s="6"/>
      <c r="R7" s="6"/>
      <c r="S7" s="6">
        <v>4.2082352941176469</v>
      </c>
      <c r="T7" s="6">
        <v>30.516572111077934</v>
      </c>
      <c r="U7">
        <v>4</v>
      </c>
      <c r="V7" s="6">
        <f t="shared" si="0"/>
        <v>30.516572111077934</v>
      </c>
      <c r="X7" t="s">
        <v>252</v>
      </c>
    </row>
    <row r="8" spans="1:48" ht="15" customHeight="1" x14ac:dyDescent="0.3">
      <c r="A8" t="s">
        <v>255</v>
      </c>
      <c r="B8" t="s">
        <v>250</v>
      </c>
      <c r="C8" t="s">
        <v>256</v>
      </c>
      <c r="D8"/>
      <c r="E8" s="6">
        <v>53.105996021597058</v>
      </c>
      <c r="F8"/>
      <c r="I8">
        <v>20.7</v>
      </c>
      <c r="J8">
        <v>14.489999999999998</v>
      </c>
      <c r="L8" s="6"/>
      <c r="M8" s="6"/>
      <c r="N8" s="6"/>
      <c r="O8" s="6">
        <v>25.6</v>
      </c>
      <c r="P8" s="6"/>
      <c r="Q8" s="6"/>
      <c r="R8" s="6"/>
      <c r="S8" s="6">
        <v>7.6950588235294131</v>
      </c>
      <c r="T8" s="6">
        <v>53.105996021597058</v>
      </c>
      <c r="U8">
        <v>1</v>
      </c>
      <c r="V8" s="6">
        <f t="shared" si="0"/>
        <v>53.105996021597058</v>
      </c>
      <c r="X8" t="s">
        <v>449</v>
      </c>
    </row>
    <row r="9" spans="1:48" ht="12.75" customHeight="1" x14ac:dyDescent="0.3">
      <c r="A9" t="s">
        <v>249</v>
      </c>
      <c r="B9" t="s">
        <v>250</v>
      </c>
      <c r="C9" t="s">
        <v>253</v>
      </c>
      <c r="D9" t="s">
        <v>254</v>
      </c>
      <c r="E9" s="6">
        <v>33.244781783681212</v>
      </c>
      <c r="F9"/>
      <c r="I9">
        <v>15.5</v>
      </c>
      <c r="J9">
        <v>10.85</v>
      </c>
      <c r="L9" s="6"/>
      <c r="M9" s="6"/>
      <c r="N9" s="6"/>
      <c r="O9" s="6">
        <v>12</v>
      </c>
      <c r="P9" s="6"/>
      <c r="Q9" s="6"/>
      <c r="R9" s="6"/>
      <c r="S9" s="6">
        <v>3.6070588235294117</v>
      </c>
      <c r="T9" s="6">
        <v>33.244781783681212</v>
      </c>
      <c r="U9">
        <v>4</v>
      </c>
      <c r="V9" s="6">
        <f t="shared" si="0"/>
        <v>33.244781783681212</v>
      </c>
      <c r="X9" t="s">
        <v>252</v>
      </c>
    </row>
    <row r="10" spans="1:48" ht="15" thickBot="1" x14ac:dyDescent="0.35">
      <c r="A10" t="s">
        <v>178</v>
      </c>
      <c r="B10" t="s">
        <v>180</v>
      </c>
      <c r="C10" t="s">
        <v>172</v>
      </c>
      <c r="D10"/>
      <c r="E10" s="6"/>
      <c r="F10">
        <v>2</v>
      </c>
      <c r="H10">
        <v>34</v>
      </c>
      <c r="K10">
        <v>0.7</v>
      </c>
      <c r="L10" s="6"/>
      <c r="M10" s="6"/>
      <c r="N10" s="6">
        <f>H10*1000/365</f>
        <v>93.150684931506845</v>
      </c>
      <c r="O10" s="6">
        <f>523.25*24/1000</f>
        <v>12.558</v>
      </c>
      <c r="P10" s="6"/>
      <c r="Q10" s="6"/>
      <c r="R10" s="6"/>
      <c r="S10" s="6"/>
      <c r="T10" s="6">
        <f>O10*100/((H10*1000/365))</f>
        <v>13.481382352941177</v>
      </c>
      <c r="V10" s="6"/>
      <c r="W10" s="6">
        <f>O10*100/N10</f>
        <v>13.481382352941177</v>
      </c>
      <c r="X10" t="s">
        <v>217</v>
      </c>
    </row>
    <row r="11" spans="1:48" x14ac:dyDescent="0.3">
      <c r="A11" s="36" t="s">
        <v>178</v>
      </c>
      <c r="B11" s="37"/>
      <c r="C11" s="37" t="s">
        <v>353</v>
      </c>
      <c r="D11" s="44"/>
      <c r="E11" s="40">
        <v>33.693819463269179</v>
      </c>
      <c r="F11"/>
      <c r="T11"/>
      <c r="V11">
        <f>MEDIAN(V4:V10)</f>
        <v>33.693819463269179</v>
      </c>
    </row>
    <row r="12" spans="1:48" x14ac:dyDescent="0.3">
      <c r="A12" s="46" t="s">
        <v>178</v>
      </c>
      <c r="B12" s="43"/>
      <c r="C12" s="43" t="s">
        <v>211</v>
      </c>
      <c r="D12" s="47"/>
      <c r="E12" s="52">
        <v>37.102050542617476</v>
      </c>
      <c r="F12"/>
      <c r="T12"/>
      <c r="V12">
        <f>AVERAGE(V4:V10)</f>
        <v>37.102050542617476</v>
      </c>
    </row>
    <row r="13" spans="1:48" ht="15" thickBot="1" x14ac:dyDescent="0.35">
      <c r="A13" s="38" t="s">
        <v>178</v>
      </c>
      <c r="B13" s="39"/>
      <c r="C13" s="39" t="s">
        <v>210</v>
      </c>
      <c r="D13" s="45"/>
      <c r="E13" s="41">
        <v>9.127029257206404</v>
      </c>
      <c r="F13"/>
      <c r="T13"/>
      <c r="V13">
        <f>STDEV(V4:V10)</f>
        <v>9.127029257206404</v>
      </c>
    </row>
    <row r="14" spans="1:48" ht="15" thickBot="1" x14ac:dyDescent="0.35">
      <c r="A14" s="38" t="s">
        <v>178</v>
      </c>
      <c r="B14" s="39"/>
      <c r="C14" s="39" t="s">
        <v>366</v>
      </c>
      <c r="D14" s="45"/>
      <c r="E14" s="41">
        <v>34.491363744998523</v>
      </c>
      <c r="F14"/>
      <c r="T14"/>
      <c r="U14">
        <f>SUM(U4:U10)</f>
        <v>12</v>
      </c>
      <c r="V14">
        <f>((V4*U4)+(V5*U5)+(V6*U6)+(V7*U7)+(V8*U8)+(V9*U9))/U14</f>
        <v>34.491363744998523</v>
      </c>
    </row>
    <row r="15" spans="1:48" s="53" customFormat="1" x14ac:dyDescent="0.3">
      <c r="A15"/>
      <c r="B15"/>
      <c r="C15"/>
      <c r="D15"/>
      <c r="E15" s="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row>
    <row r="16" spans="1:48" x14ac:dyDescent="0.3">
      <c r="A16" t="s">
        <v>1</v>
      </c>
      <c r="B16" t="s">
        <v>42</v>
      </c>
      <c r="C16" t="s">
        <v>107</v>
      </c>
      <c r="E16" s="6">
        <v>9.7017673048600894</v>
      </c>
      <c r="K16">
        <v>0.7</v>
      </c>
      <c r="M16" s="6"/>
      <c r="N16" s="6">
        <f>388/85</f>
        <v>4.5647058823529409</v>
      </c>
      <c r="O16" s="6">
        <v>0.31</v>
      </c>
      <c r="P16">
        <v>1.21</v>
      </c>
      <c r="S16" s="6"/>
      <c r="T16" s="6">
        <f>W16/K16</f>
        <v>9.7017673048600894</v>
      </c>
      <c r="U16">
        <v>1</v>
      </c>
      <c r="V16" s="6">
        <f t="shared" ref="V16:V21" si="1">T16</f>
        <v>9.7017673048600894</v>
      </c>
      <c r="W16" s="6">
        <f>O16*100/N16</f>
        <v>6.7912371134020626</v>
      </c>
      <c r="X16" t="s">
        <v>35</v>
      </c>
      <c r="AE16" t="s">
        <v>348</v>
      </c>
    </row>
    <row r="17" spans="1:31" x14ac:dyDescent="0.3">
      <c r="A17" t="s">
        <v>1</v>
      </c>
      <c r="B17" t="s">
        <v>43</v>
      </c>
      <c r="C17" t="s">
        <v>107</v>
      </c>
      <c r="E17" s="6">
        <v>12.978819287967553</v>
      </c>
      <c r="K17">
        <v>0.7</v>
      </c>
      <c r="M17" s="6"/>
      <c r="N17" s="6">
        <f>317/80</f>
        <v>3.9624999999999999</v>
      </c>
      <c r="O17" s="6">
        <v>0.36</v>
      </c>
      <c r="P17">
        <v>1.41</v>
      </c>
      <c r="S17" s="6"/>
      <c r="T17" s="6">
        <f>W17/K17</f>
        <v>12.978819287967553</v>
      </c>
      <c r="U17">
        <v>1</v>
      </c>
      <c r="V17" s="6">
        <f t="shared" si="1"/>
        <v>12.978819287967553</v>
      </c>
      <c r="W17" s="6">
        <f>O17*100/N17</f>
        <v>9.0851735015772874</v>
      </c>
      <c r="X17" t="s">
        <v>35</v>
      </c>
      <c r="AE17" t="s">
        <v>348</v>
      </c>
    </row>
    <row r="18" spans="1:31" ht="17.25" customHeight="1" x14ac:dyDescent="0.3">
      <c r="A18" t="s">
        <v>1</v>
      </c>
      <c r="B18" t="s">
        <v>175</v>
      </c>
      <c r="C18" t="s">
        <v>179</v>
      </c>
      <c r="D18" s="1" t="s">
        <v>123</v>
      </c>
      <c r="E18" s="6">
        <v>8.6035714285714278</v>
      </c>
      <c r="F18" s="1">
        <f>1/0.027</f>
        <v>37.037037037037038</v>
      </c>
      <c r="K18">
        <v>0.7</v>
      </c>
      <c r="L18">
        <v>4.4000000000000004</v>
      </c>
      <c r="M18" s="6"/>
      <c r="N18" s="6"/>
      <c r="O18" s="6">
        <f>30.25*24/1000</f>
        <v>0.72599999999999998</v>
      </c>
      <c r="Q18">
        <f>1011*24/1000</f>
        <v>24.263999999999999</v>
      </c>
      <c r="S18" s="6"/>
      <c r="T18" s="6">
        <f>W18/0.7</f>
        <v>8.6035714285714278</v>
      </c>
      <c r="U18">
        <v>4</v>
      </c>
      <c r="V18" s="6">
        <f t="shared" si="1"/>
        <v>8.6035714285714278</v>
      </c>
      <c r="W18" s="6">
        <f>O18*100/(L18*1000/365)</f>
        <v>6.0224999999999991</v>
      </c>
      <c r="X18" t="s">
        <v>217</v>
      </c>
    </row>
    <row r="19" spans="1:31" x14ac:dyDescent="0.3">
      <c r="A19" t="s">
        <v>257</v>
      </c>
      <c r="B19" t="s">
        <v>250</v>
      </c>
      <c r="C19" t="s">
        <v>258</v>
      </c>
      <c r="D19" t="s">
        <v>254</v>
      </c>
      <c r="E19" s="6">
        <v>48.026315789473685</v>
      </c>
      <c r="F19"/>
      <c r="I19">
        <v>3.8</v>
      </c>
      <c r="J19">
        <v>2.6599999999999997</v>
      </c>
      <c r="M19" s="6"/>
      <c r="N19" s="6"/>
      <c r="O19" s="6">
        <v>4.25</v>
      </c>
      <c r="S19" s="6">
        <v>1.2774999999999999</v>
      </c>
      <c r="T19" s="6">
        <v>48.026315789473685</v>
      </c>
      <c r="U19">
        <v>4</v>
      </c>
      <c r="V19" s="6">
        <f t="shared" si="1"/>
        <v>48.026315789473685</v>
      </c>
      <c r="W19" s="6"/>
      <c r="X19" t="s">
        <v>252</v>
      </c>
    </row>
    <row r="20" spans="1:31" x14ac:dyDescent="0.3">
      <c r="A20" t="s">
        <v>257</v>
      </c>
      <c r="B20" t="s">
        <v>250</v>
      </c>
      <c r="C20" t="s">
        <v>248</v>
      </c>
      <c r="D20"/>
      <c r="E20" s="6">
        <v>13.673374613003096</v>
      </c>
      <c r="F20"/>
      <c r="I20">
        <v>3.8</v>
      </c>
      <c r="J20">
        <v>2.6599999999999997</v>
      </c>
      <c r="M20" s="6"/>
      <c r="N20" s="6"/>
      <c r="O20" s="6">
        <v>1.21</v>
      </c>
      <c r="S20" s="6">
        <v>0.36371176470588229</v>
      </c>
      <c r="T20" s="6">
        <v>13.673374613003096</v>
      </c>
      <c r="U20">
        <v>1</v>
      </c>
      <c r="V20" s="6">
        <f t="shared" si="1"/>
        <v>13.673374613003096</v>
      </c>
      <c r="W20" s="6"/>
      <c r="X20" t="s">
        <v>46</v>
      </c>
    </row>
    <row r="21" spans="1:31" ht="15" thickBot="1" x14ac:dyDescent="0.35">
      <c r="A21" t="s">
        <v>257</v>
      </c>
      <c r="B21" t="s">
        <v>250</v>
      </c>
      <c r="C21" t="s">
        <v>256</v>
      </c>
      <c r="D21"/>
      <c r="E21" s="6">
        <v>44.973214285714285</v>
      </c>
      <c r="F21"/>
      <c r="I21">
        <v>4</v>
      </c>
      <c r="J21">
        <v>2.8</v>
      </c>
      <c r="M21" s="6"/>
      <c r="N21" s="6"/>
      <c r="O21" s="6">
        <v>3.45</v>
      </c>
      <c r="S21" s="6">
        <v>1.25925</v>
      </c>
      <c r="T21" s="6">
        <v>44.973214285714285</v>
      </c>
      <c r="U21">
        <v>1</v>
      </c>
      <c r="V21" s="6">
        <f t="shared" si="1"/>
        <v>44.973214285714285</v>
      </c>
      <c r="W21" s="6"/>
      <c r="X21" t="s">
        <v>450</v>
      </c>
    </row>
    <row r="22" spans="1:31" ht="20.25" customHeight="1" x14ac:dyDescent="0.3">
      <c r="A22" s="36" t="s">
        <v>1</v>
      </c>
      <c r="B22" s="37"/>
      <c r="C22" s="37" t="s">
        <v>353</v>
      </c>
      <c r="D22" s="44"/>
      <c r="E22" s="40">
        <v>13.673374613003096</v>
      </c>
      <c r="F22"/>
      <c r="T22"/>
      <c r="V22">
        <f>MEDIAN(V14:V21)</f>
        <v>13.673374613003096</v>
      </c>
    </row>
    <row r="23" spans="1:31" ht="20.25" customHeight="1" x14ac:dyDescent="0.3">
      <c r="A23" s="46" t="s">
        <v>1</v>
      </c>
      <c r="B23" s="43"/>
      <c r="C23" s="43" t="s">
        <v>211</v>
      </c>
      <c r="D23" s="47"/>
      <c r="E23" s="52">
        <v>24.635489493512665</v>
      </c>
      <c r="F23"/>
      <c r="T23"/>
      <c r="V23">
        <f>AVERAGE(V14:V21)</f>
        <v>24.635489493512665</v>
      </c>
    </row>
    <row r="24" spans="1:31" ht="15" thickBot="1" x14ac:dyDescent="0.35">
      <c r="A24" s="38" t="s">
        <v>1</v>
      </c>
      <c r="B24" s="39"/>
      <c r="C24" s="39" t="s">
        <v>210</v>
      </c>
      <c r="D24" s="45"/>
      <c r="E24" s="41">
        <v>18.333840149683937</v>
      </c>
      <c r="F24"/>
      <c r="T24"/>
      <c r="V24">
        <f>STDEV(V16:V21)</f>
        <v>18.333840149683937</v>
      </c>
    </row>
    <row r="25" spans="1:31" ht="15" thickBot="1" x14ac:dyDescent="0.35">
      <c r="A25" s="38" t="s">
        <v>1</v>
      </c>
      <c r="B25" s="39"/>
      <c r="C25" s="39" t="s">
        <v>366</v>
      </c>
      <c r="D25" s="45"/>
      <c r="E25" s="41">
        <v>25.653893696977121</v>
      </c>
      <c r="F25"/>
      <c r="T25"/>
      <c r="U25">
        <f>SUM(U16:U21)</f>
        <v>12</v>
      </c>
      <c r="V25">
        <f>((V16*U16)+(V17*U17)+(V18*U18)+(V19*U19)+(V20*U20)+(V21*U21))/U25</f>
        <v>25.653893696977121</v>
      </c>
    </row>
    <row r="26" spans="1:31" s="53" customFormat="1" x14ac:dyDescent="0.3">
      <c r="A26"/>
      <c r="B26"/>
      <c r="C26"/>
      <c r="D26"/>
      <c r="E26" s="6"/>
      <c r="F26"/>
      <c r="G26"/>
      <c r="H26"/>
      <c r="I26"/>
      <c r="J26"/>
      <c r="K26"/>
      <c r="L26"/>
      <c r="M26"/>
      <c r="N26"/>
      <c r="O26"/>
      <c r="P26"/>
      <c r="Q26"/>
      <c r="R26"/>
      <c r="S26"/>
      <c r="T26"/>
      <c r="U26"/>
      <c r="V26"/>
      <c r="W26"/>
      <c r="X26"/>
      <c r="Y26"/>
      <c r="Z26"/>
      <c r="AA26"/>
      <c r="AB26"/>
      <c r="AC26"/>
      <c r="AD26"/>
      <c r="AE26"/>
    </row>
    <row r="27" spans="1:31" x14ac:dyDescent="0.3">
      <c r="A27" t="s">
        <v>2</v>
      </c>
      <c r="C27" t="s">
        <v>90</v>
      </c>
      <c r="E27" s="6"/>
      <c r="F27" s="1">
        <f>1/0.3</f>
        <v>3.3333333333333335</v>
      </c>
      <c r="H27">
        <v>10.6</v>
      </c>
      <c r="K27">
        <v>0.7</v>
      </c>
      <c r="N27" s="6">
        <f t="shared" ref="N27:N35" si="2">H27*1000/365</f>
        <v>29.041095890410958</v>
      </c>
      <c r="O27" s="6">
        <v>14.8</v>
      </c>
      <c r="P27" s="6">
        <v>24.7</v>
      </c>
      <c r="Q27" s="6"/>
      <c r="R27" s="6"/>
      <c r="S27" s="6"/>
      <c r="T27"/>
      <c r="V27"/>
      <c r="W27" s="6"/>
      <c r="X27" t="s">
        <v>36</v>
      </c>
    </row>
    <row r="28" spans="1:31" x14ac:dyDescent="0.3">
      <c r="A28" t="s">
        <v>2</v>
      </c>
      <c r="C28" t="s">
        <v>106</v>
      </c>
      <c r="E28" s="6">
        <v>21.173160173160174</v>
      </c>
      <c r="F28" s="1">
        <f>1/0.3</f>
        <v>3.3333333333333335</v>
      </c>
      <c r="H28">
        <v>16.5</v>
      </c>
      <c r="K28">
        <v>0.7</v>
      </c>
      <c r="N28" s="6">
        <f t="shared" si="2"/>
        <v>45.205479452054796</v>
      </c>
      <c r="O28" s="6">
        <v>6.7</v>
      </c>
      <c r="P28" s="6">
        <v>10</v>
      </c>
      <c r="Q28" s="6"/>
      <c r="R28" s="6"/>
      <c r="S28" s="6"/>
      <c r="T28" s="6">
        <f>W28/0.7</f>
        <v>21.173160173160174</v>
      </c>
      <c r="V28" s="6">
        <f t="shared" ref="V28:V32" si="3">T28</f>
        <v>21.173160173160174</v>
      </c>
      <c r="W28" s="6">
        <f>O28*100/N28</f>
        <v>14.82121212121212</v>
      </c>
      <c r="X28" t="s">
        <v>37</v>
      </c>
    </row>
    <row r="29" spans="1:31" x14ac:dyDescent="0.3">
      <c r="A29" t="s">
        <v>2</v>
      </c>
      <c r="C29" t="s">
        <v>108</v>
      </c>
      <c r="E29" s="6">
        <v>27.690242763772179</v>
      </c>
      <c r="F29" s="1">
        <f>1/0.3</f>
        <v>3.3333333333333335</v>
      </c>
      <c r="H29">
        <v>13.6</v>
      </c>
      <c r="K29">
        <v>0.7</v>
      </c>
      <c r="N29" s="6">
        <f t="shared" si="2"/>
        <v>37.260273972602739</v>
      </c>
      <c r="O29" s="6">
        <f>2.6*1000/360</f>
        <v>7.2222222222222223</v>
      </c>
      <c r="P29" s="6">
        <v>9.1999999999999993</v>
      </c>
      <c r="Q29" s="6"/>
      <c r="R29" s="6"/>
      <c r="S29" s="6"/>
      <c r="T29" s="6">
        <f>W29/0.7</f>
        <v>27.690242763772179</v>
      </c>
      <c r="U29">
        <v>2</v>
      </c>
      <c r="V29" s="6">
        <f t="shared" si="3"/>
        <v>27.690242763772179</v>
      </c>
      <c r="W29" s="6">
        <f>O29*100/N29</f>
        <v>19.383169934640524</v>
      </c>
      <c r="X29" t="s">
        <v>38</v>
      </c>
    </row>
    <row r="30" spans="1:31" x14ac:dyDescent="0.3">
      <c r="A30" t="s">
        <v>2</v>
      </c>
      <c r="C30" t="s">
        <v>107</v>
      </c>
      <c r="E30" s="6">
        <v>19.593073593073594</v>
      </c>
      <c r="F30" s="1">
        <f>1/0.3</f>
        <v>3.3333333333333335</v>
      </c>
      <c r="H30">
        <v>16.5</v>
      </c>
      <c r="K30">
        <v>0.7</v>
      </c>
      <c r="N30" s="6">
        <f t="shared" si="2"/>
        <v>45.205479452054796</v>
      </c>
      <c r="O30" s="6">
        <v>6.2</v>
      </c>
      <c r="P30" s="6">
        <v>8.3000000000000007</v>
      </c>
      <c r="Q30" s="6"/>
      <c r="R30" s="6"/>
      <c r="S30" s="6"/>
      <c r="T30" s="6">
        <f>W30/0.7</f>
        <v>19.593073593073594</v>
      </c>
      <c r="U30">
        <v>1</v>
      </c>
      <c r="V30" s="6">
        <f t="shared" si="3"/>
        <v>19.593073593073594</v>
      </c>
      <c r="W30" s="6">
        <f>O30*100/N30</f>
        <v>13.715151515151515</v>
      </c>
      <c r="X30" t="s">
        <v>39</v>
      </c>
    </row>
    <row r="31" spans="1:31" ht="16.95" customHeight="1" x14ac:dyDescent="0.3">
      <c r="A31" t="s">
        <v>2</v>
      </c>
      <c r="B31" t="s">
        <v>180</v>
      </c>
      <c r="C31" t="s">
        <v>172</v>
      </c>
      <c r="D31" s="1" t="s">
        <v>123</v>
      </c>
      <c r="E31" s="6">
        <v>34.292946990116782</v>
      </c>
      <c r="F31" s="1">
        <f>1/0.3</f>
        <v>3.3333333333333335</v>
      </c>
      <c r="H31">
        <v>10.6</v>
      </c>
      <c r="K31">
        <v>0.7</v>
      </c>
      <c r="N31" s="6">
        <f t="shared" si="2"/>
        <v>29.041095890410958</v>
      </c>
      <c r="O31" s="6">
        <f>290.472222222222*24/1000</f>
        <v>6.9713333333333285</v>
      </c>
      <c r="P31" s="6"/>
      <c r="Q31" s="6">
        <f>2408.5*24/1000</f>
        <v>57.804000000000002</v>
      </c>
      <c r="R31" s="6"/>
      <c r="S31" s="6"/>
      <c r="T31" s="6">
        <f>W31/0.7</f>
        <v>34.292946990116782</v>
      </c>
      <c r="U31">
        <v>4</v>
      </c>
      <c r="V31" s="6">
        <f t="shared" si="3"/>
        <v>34.292946990116782</v>
      </c>
      <c r="W31" s="6">
        <f>O31*100/N31</f>
        <v>24.005062893081746</v>
      </c>
      <c r="X31" t="s">
        <v>217</v>
      </c>
    </row>
    <row r="32" spans="1:31" ht="20.25" customHeight="1" x14ac:dyDescent="0.3">
      <c r="A32" t="s">
        <v>2</v>
      </c>
      <c r="B32" t="s">
        <v>125</v>
      </c>
      <c r="C32" t="s">
        <v>126</v>
      </c>
      <c r="D32" s="1" t="s">
        <v>123</v>
      </c>
      <c r="E32" s="6">
        <v>26.128728414442705</v>
      </c>
      <c r="G32">
        <f>500/110</f>
        <v>4.5454545454545459</v>
      </c>
      <c r="H32">
        <v>9.1</v>
      </c>
      <c r="K32">
        <v>0.7</v>
      </c>
      <c r="N32" s="6">
        <f t="shared" si="2"/>
        <v>24.931506849315067</v>
      </c>
      <c r="O32" s="6">
        <f>0.19*24</f>
        <v>4.5600000000000005</v>
      </c>
      <c r="P32" s="6"/>
      <c r="Q32" s="6">
        <f>(1.36+1.51)*24</f>
        <v>68.88</v>
      </c>
      <c r="R32" s="6"/>
      <c r="S32" s="6"/>
      <c r="T32" s="6">
        <f>W32/0.7</f>
        <v>26.128728414442705</v>
      </c>
      <c r="U32">
        <v>1</v>
      </c>
      <c r="V32" s="6">
        <f t="shared" si="3"/>
        <v>26.128728414442705</v>
      </c>
      <c r="W32" s="6">
        <f>O32*100/N32</f>
        <v>18.290109890109893</v>
      </c>
      <c r="X32" t="s">
        <v>218</v>
      </c>
    </row>
    <row r="33" spans="1:24" x14ac:dyDescent="0.3">
      <c r="A33" t="s">
        <v>2</v>
      </c>
      <c r="B33" t="s">
        <v>116</v>
      </c>
      <c r="C33" t="s">
        <v>115</v>
      </c>
      <c r="D33" s="1" t="s">
        <v>68</v>
      </c>
      <c r="E33" s="6"/>
      <c r="F33" s="1">
        <f>1/0.3</f>
        <v>3.3333333333333335</v>
      </c>
      <c r="H33">
        <v>8.4</v>
      </c>
      <c r="K33">
        <v>0.7</v>
      </c>
      <c r="N33" s="6">
        <f t="shared" si="2"/>
        <v>23.013698630136986</v>
      </c>
      <c r="O33" s="6"/>
      <c r="P33" s="6"/>
      <c r="Q33" s="6">
        <f>2.54*24</f>
        <v>60.96</v>
      </c>
      <c r="R33" s="6"/>
      <c r="S33" s="6"/>
      <c r="T33" s="6"/>
      <c r="U33">
        <v>1</v>
      </c>
      <c r="V33" s="6"/>
      <c r="W33" s="6"/>
      <c r="X33" t="s">
        <v>214</v>
      </c>
    </row>
    <row r="34" spans="1:24" ht="17.25" customHeight="1" x14ac:dyDescent="0.3">
      <c r="A34" t="s">
        <v>2</v>
      </c>
      <c r="B34" t="s">
        <v>124</v>
      </c>
      <c r="C34" t="s">
        <v>107</v>
      </c>
      <c r="D34" s="1" t="s">
        <v>123</v>
      </c>
      <c r="E34" s="6">
        <v>34.574886060034579</v>
      </c>
      <c r="H34">
        <v>10.1</v>
      </c>
      <c r="K34">
        <v>0.7</v>
      </c>
      <c r="N34" s="6">
        <f t="shared" si="2"/>
        <v>27.671232876712327</v>
      </c>
      <c r="O34" s="6">
        <f>2.2*1000/(365*0.9)</f>
        <v>6.6971080669710803</v>
      </c>
      <c r="P34" s="6"/>
      <c r="Q34" s="6"/>
      <c r="R34" s="6"/>
      <c r="S34" s="6"/>
      <c r="T34" s="6">
        <f t="shared" ref="T34:T35" si="4">W34/0.7</f>
        <v>34.574886060034579</v>
      </c>
      <c r="U34">
        <v>3</v>
      </c>
      <c r="V34" s="6">
        <f t="shared" ref="V34:V45" si="5">T34</f>
        <v>34.574886060034579</v>
      </c>
      <c r="W34" s="6">
        <f t="shared" ref="W34:W35" si="6">O34*100/N34</f>
        <v>24.202420242024203</v>
      </c>
      <c r="X34" t="s">
        <v>215</v>
      </c>
    </row>
    <row r="35" spans="1:24" ht="16.5" customHeight="1" x14ac:dyDescent="0.3">
      <c r="A35" t="s">
        <v>2</v>
      </c>
      <c r="B35" t="s">
        <v>124</v>
      </c>
      <c r="C35" t="s">
        <v>107</v>
      </c>
      <c r="D35" s="1" t="s">
        <v>123</v>
      </c>
      <c r="E35" s="6">
        <v>25.14537168002515</v>
      </c>
      <c r="H35">
        <v>10.1</v>
      </c>
      <c r="K35">
        <v>0.7</v>
      </c>
      <c r="N35" s="6">
        <f t="shared" si="2"/>
        <v>27.671232876712327</v>
      </c>
      <c r="O35" s="6">
        <f>1.6*1000/(365*0.9)</f>
        <v>4.8706240487062402</v>
      </c>
      <c r="P35" s="6"/>
      <c r="Q35" s="6"/>
      <c r="R35" s="6"/>
      <c r="S35" s="6"/>
      <c r="T35" s="6">
        <f t="shared" si="4"/>
        <v>25.14537168002515</v>
      </c>
      <c r="U35">
        <v>3</v>
      </c>
      <c r="V35" s="6">
        <f t="shared" si="5"/>
        <v>25.14537168002515</v>
      </c>
      <c r="W35" s="6">
        <f t="shared" si="6"/>
        <v>17.601760176017603</v>
      </c>
      <c r="X35" t="s">
        <v>122</v>
      </c>
    </row>
    <row r="36" spans="1:24" x14ac:dyDescent="0.3">
      <c r="A36" t="s">
        <v>2</v>
      </c>
      <c r="B36" t="s">
        <v>134</v>
      </c>
      <c r="C36" t="s">
        <v>115</v>
      </c>
      <c r="D36" t="s">
        <v>135</v>
      </c>
      <c r="E36" s="6">
        <v>25.538003663003661</v>
      </c>
      <c r="F36"/>
      <c r="G36">
        <f>500/115</f>
        <v>4.3478260869565215</v>
      </c>
      <c r="L36" s="6">
        <f>M36*3.64/4.85</f>
        <v>18.012371134020619</v>
      </c>
      <c r="M36">
        <v>24</v>
      </c>
      <c r="N36" s="6"/>
      <c r="O36" s="6">
        <v>4.5999999999999996</v>
      </c>
      <c r="P36" s="6"/>
      <c r="Q36" s="6"/>
      <c r="R36" s="6"/>
      <c r="S36" s="6"/>
      <c r="T36" s="6">
        <f>O36*100/L36</f>
        <v>25.538003663003661</v>
      </c>
      <c r="U36">
        <v>2</v>
      </c>
      <c r="V36" s="6">
        <f t="shared" si="5"/>
        <v>25.538003663003661</v>
      </c>
      <c r="W36" s="6"/>
      <c r="X36" s="80" t="s">
        <v>209</v>
      </c>
    </row>
    <row r="37" spans="1:24" x14ac:dyDescent="0.3">
      <c r="A37" t="s">
        <v>2</v>
      </c>
      <c r="B37" t="s">
        <v>138</v>
      </c>
      <c r="C37" t="s">
        <v>107</v>
      </c>
      <c r="D37"/>
      <c r="E37" s="6">
        <v>18.277465346534655</v>
      </c>
      <c r="F37"/>
      <c r="G37">
        <f>500/109</f>
        <v>4.5871559633027523</v>
      </c>
      <c r="H37">
        <v>10.1</v>
      </c>
      <c r="K37">
        <v>0.7</v>
      </c>
      <c r="N37" s="6"/>
      <c r="O37" s="6"/>
      <c r="P37" s="6"/>
      <c r="Q37" s="6">
        <v>23.2</v>
      </c>
      <c r="R37" s="6"/>
      <c r="S37" s="6"/>
      <c r="T37" s="6">
        <f>Q37*100/((H37*1000/365)*G37)</f>
        <v>18.277465346534655</v>
      </c>
      <c r="U37">
        <v>1</v>
      </c>
      <c r="V37" s="6">
        <f t="shared" si="5"/>
        <v>18.277465346534655</v>
      </c>
      <c r="X37" t="s">
        <v>137</v>
      </c>
    </row>
    <row r="38" spans="1:24" x14ac:dyDescent="0.3">
      <c r="A38" t="s">
        <v>2</v>
      </c>
      <c r="B38" t="s">
        <v>139</v>
      </c>
      <c r="C38" t="s">
        <v>107</v>
      </c>
      <c r="D38"/>
      <c r="E38" s="6">
        <v>38.053960396039606</v>
      </c>
      <c r="F38"/>
      <c r="G38">
        <f>500/117</f>
        <v>4.2735042735042734</v>
      </c>
      <c r="H38">
        <v>10.1</v>
      </c>
      <c r="K38">
        <v>0.7</v>
      </c>
      <c r="N38" s="6"/>
      <c r="O38" s="6"/>
      <c r="P38" s="6"/>
      <c r="Q38" s="6">
        <v>45</v>
      </c>
      <c r="R38" s="6"/>
      <c r="S38" s="6"/>
      <c r="T38" s="6">
        <f>Q38*100/((H38*1000/365)*G38)</f>
        <v>38.053960396039606</v>
      </c>
      <c r="U38">
        <v>1</v>
      </c>
      <c r="V38" s="6">
        <f t="shared" si="5"/>
        <v>38.053960396039606</v>
      </c>
      <c r="X38" t="s">
        <v>137</v>
      </c>
    </row>
    <row r="39" spans="1:24" x14ac:dyDescent="0.3">
      <c r="A39" t="s">
        <v>259</v>
      </c>
      <c r="B39" t="s">
        <v>250</v>
      </c>
      <c r="C39" t="s">
        <v>248</v>
      </c>
      <c r="D39" t="s">
        <v>262</v>
      </c>
      <c r="E39" s="6">
        <v>10.342598577892696</v>
      </c>
      <c r="F39"/>
      <c r="I39">
        <v>11.9</v>
      </c>
      <c r="J39">
        <v>8.33</v>
      </c>
      <c r="N39" s="6"/>
      <c r="O39" s="6"/>
      <c r="P39" s="6"/>
      <c r="Q39" s="6"/>
      <c r="R39" s="6">
        <v>134.4</v>
      </c>
      <c r="S39" s="6">
        <v>0.86153846153846159</v>
      </c>
      <c r="T39" s="6">
        <v>10.342598577892696</v>
      </c>
      <c r="U39">
        <v>1</v>
      </c>
      <c r="V39" s="6">
        <f t="shared" si="5"/>
        <v>10.342598577892696</v>
      </c>
      <c r="X39" t="s">
        <v>261</v>
      </c>
    </row>
    <row r="40" spans="1:24" x14ac:dyDescent="0.3">
      <c r="A40" t="s">
        <v>259</v>
      </c>
      <c r="B40" t="s">
        <v>250</v>
      </c>
      <c r="C40" t="s">
        <v>264</v>
      </c>
      <c r="D40" t="s">
        <v>262</v>
      </c>
      <c r="E40" s="6">
        <v>9.9072286572286572</v>
      </c>
      <c r="F40"/>
      <c r="I40">
        <v>14.8</v>
      </c>
      <c r="J40">
        <v>10.36</v>
      </c>
      <c r="N40" s="6"/>
      <c r="O40" s="6"/>
      <c r="P40" s="6"/>
      <c r="Q40" s="6"/>
      <c r="R40" s="6">
        <v>110.85</v>
      </c>
      <c r="S40" s="6">
        <v>1.0263888888888888</v>
      </c>
      <c r="T40" s="6">
        <v>9.9072286572286572</v>
      </c>
      <c r="U40">
        <v>1</v>
      </c>
      <c r="V40" s="6">
        <f t="shared" si="5"/>
        <v>9.9072286572286572</v>
      </c>
      <c r="X40" t="s">
        <v>261</v>
      </c>
    </row>
    <row r="41" spans="1:24" x14ac:dyDescent="0.3">
      <c r="A41" t="s">
        <v>259</v>
      </c>
      <c r="B41" t="s">
        <v>250</v>
      </c>
      <c r="C41" t="s">
        <v>269</v>
      </c>
      <c r="D41" t="s">
        <v>270</v>
      </c>
      <c r="E41" s="6">
        <v>11.056560402684562</v>
      </c>
      <c r="F41"/>
      <c r="I41">
        <v>14.9</v>
      </c>
      <c r="J41">
        <v>10.43</v>
      </c>
      <c r="N41" s="6"/>
      <c r="O41" s="6">
        <v>25.075000000000003</v>
      </c>
      <c r="P41" s="6"/>
      <c r="Q41" s="6"/>
      <c r="R41" s="6"/>
      <c r="S41" s="6">
        <v>1.1531992499999999</v>
      </c>
      <c r="T41" s="6">
        <v>11.056560402684562</v>
      </c>
      <c r="U41">
        <v>1</v>
      </c>
      <c r="V41" s="6">
        <f t="shared" si="5"/>
        <v>11.056560402684562</v>
      </c>
      <c r="X41" s="80" t="s">
        <v>268</v>
      </c>
    </row>
    <row r="42" spans="1:24" x14ac:dyDescent="0.3">
      <c r="A42" t="s">
        <v>259</v>
      </c>
      <c r="B42" t="s">
        <v>250</v>
      </c>
      <c r="C42" t="s">
        <v>253</v>
      </c>
      <c r="D42" t="s">
        <v>254</v>
      </c>
      <c r="E42" s="6">
        <v>39.502164502164511</v>
      </c>
      <c r="F42"/>
      <c r="I42">
        <v>13.2</v>
      </c>
      <c r="J42">
        <v>9.2399999999999984</v>
      </c>
      <c r="N42" s="6"/>
      <c r="O42" s="6">
        <v>10</v>
      </c>
      <c r="P42" s="6"/>
      <c r="Q42" s="6"/>
      <c r="R42" s="6"/>
      <c r="S42" s="6">
        <v>3.65</v>
      </c>
      <c r="T42" s="6">
        <v>39.502164502164511</v>
      </c>
      <c r="U42">
        <v>4</v>
      </c>
      <c r="V42" s="6">
        <f t="shared" si="5"/>
        <v>39.502164502164511</v>
      </c>
      <c r="X42" t="s">
        <v>252</v>
      </c>
    </row>
    <row r="43" spans="1:24" x14ac:dyDescent="0.3">
      <c r="A43" t="s">
        <v>259</v>
      </c>
      <c r="B43" t="s">
        <v>250</v>
      </c>
      <c r="D43"/>
      <c r="E43" s="6">
        <v>35.63720452209661</v>
      </c>
      <c r="F43"/>
      <c r="I43">
        <v>13.9</v>
      </c>
      <c r="J43">
        <v>9.73</v>
      </c>
      <c r="N43" s="6"/>
      <c r="O43" s="6">
        <v>9.5</v>
      </c>
      <c r="P43" s="6"/>
      <c r="Q43" s="6"/>
      <c r="R43" s="6"/>
      <c r="S43" s="6">
        <v>3.4674999999999998</v>
      </c>
      <c r="T43" s="6">
        <v>35.63720452209661</v>
      </c>
      <c r="U43">
        <v>1</v>
      </c>
      <c r="V43" s="6">
        <f t="shared" si="5"/>
        <v>35.63720452209661</v>
      </c>
      <c r="X43" t="s">
        <v>448</v>
      </c>
    </row>
    <row r="44" spans="1:24" x14ac:dyDescent="0.3">
      <c r="A44" t="s">
        <v>259</v>
      </c>
      <c r="B44" t="s">
        <v>277</v>
      </c>
      <c r="C44" t="s">
        <v>276</v>
      </c>
      <c r="D44"/>
      <c r="E44" s="6">
        <v>13.70342598577893</v>
      </c>
      <c r="F44"/>
      <c r="I44">
        <v>18.2</v>
      </c>
      <c r="J44">
        <v>12.739999999999998</v>
      </c>
      <c r="M44">
        <f>24*242/1000</f>
        <v>5.8079999999999998</v>
      </c>
      <c r="N44" s="6"/>
      <c r="O44" s="6"/>
      <c r="P44" s="6"/>
      <c r="Q44" s="6"/>
      <c r="R44" s="6"/>
      <c r="S44" s="6">
        <v>1.7458164705882353</v>
      </c>
      <c r="T44" s="6">
        <v>13.70342598577893</v>
      </c>
      <c r="U44">
        <v>1</v>
      </c>
      <c r="V44" s="6">
        <f t="shared" si="5"/>
        <v>13.70342598577893</v>
      </c>
      <c r="X44" t="s">
        <v>275</v>
      </c>
    </row>
    <row r="45" spans="1:24" ht="15" thickBot="1" x14ac:dyDescent="0.35">
      <c r="A45" t="s">
        <v>259</v>
      </c>
      <c r="B45" t="s">
        <v>263</v>
      </c>
      <c r="C45" t="s">
        <v>276</v>
      </c>
      <c r="D45"/>
      <c r="E45" s="6">
        <v>15.232320620555917</v>
      </c>
      <c r="F45"/>
      <c r="I45">
        <v>18.2</v>
      </c>
      <c r="J45">
        <v>12.739999999999998</v>
      </c>
      <c r="M45">
        <f>24*269/1000</f>
        <v>6.4560000000000004</v>
      </c>
      <c r="N45" s="6"/>
      <c r="O45" s="6"/>
      <c r="P45" s="6"/>
      <c r="Q45" s="6"/>
      <c r="R45" s="6"/>
      <c r="S45" s="6">
        <v>1.9405976470588238</v>
      </c>
      <c r="T45" s="6">
        <v>15.232320620555917</v>
      </c>
      <c r="U45">
        <v>1</v>
      </c>
      <c r="V45" s="6">
        <f t="shared" si="5"/>
        <v>15.232320620555917</v>
      </c>
      <c r="X45" t="s">
        <v>275</v>
      </c>
    </row>
    <row r="46" spans="1:24" x14ac:dyDescent="0.3">
      <c r="A46" s="36" t="s">
        <v>2</v>
      </c>
      <c r="B46" s="37" t="s">
        <v>128</v>
      </c>
      <c r="C46" s="37" t="s">
        <v>353</v>
      </c>
      <c r="D46" s="44"/>
      <c r="E46" s="40">
        <v>25.14537168002515</v>
      </c>
      <c r="F46"/>
      <c r="T46"/>
      <c r="V46">
        <f>MEDIAN(V28:V45)</f>
        <v>25.14537168002515</v>
      </c>
    </row>
    <row r="47" spans="1:24" x14ac:dyDescent="0.3">
      <c r="A47" s="46" t="s">
        <v>2</v>
      </c>
      <c r="B47" s="43"/>
      <c r="C47" s="43" t="s">
        <v>211</v>
      </c>
      <c r="D47" s="47"/>
      <c r="E47" s="52">
        <v>23.873490726388532</v>
      </c>
      <c r="F47"/>
      <c r="T47"/>
      <c r="V47">
        <f>AVERAGE(V28:V45)</f>
        <v>23.873490726388532</v>
      </c>
    </row>
    <row r="48" spans="1:24" ht="15" thickBot="1" x14ac:dyDescent="0.35">
      <c r="A48" s="38" t="s">
        <v>2</v>
      </c>
      <c r="B48" s="39" t="s">
        <v>128</v>
      </c>
      <c r="C48" s="39" t="s">
        <v>210</v>
      </c>
      <c r="D48" s="45"/>
      <c r="E48" s="41">
        <v>10.025896312486809</v>
      </c>
      <c r="F48"/>
      <c r="T48"/>
      <c r="V48">
        <f>STDEV(V28:V45)</f>
        <v>10.025896312486809</v>
      </c>
    </row>
    <row r="49" spans="1:39" ht="15" thickBot="1" x14ac:dyDescent="0.35">
      <c r="A49" s="46" t="s">
        <v>2</v>
      </c>
      <c r="B49" s="43"/>
      <c r="C49" s="43" t="s">
        <v>366</v>
      </c>
      <c r="D49" s="47"/>
      <c r="E49" s="52">
        <v>26.852768226178753</v>
      </c>
      <c r="F49"/>
      <c r="T49"/>
      <c r="U49">
        <f>SUM(U28:U45)</f>
        <v>29</v>
      </c>
      <c r="V49">
        <f>((V28*U28)+(V29*U29)+(V30*U30)+(V31*U31)+(V32*U32)+(V33*U33)+(V34*U34)+(V35*U35)+(V36*U36)+(V37*U37)+(V38*U38)+(V39*U39)+(V40*U40)+(V41*U41)+(V42*U42)+(V43*U43)+(V44*U44)+(V45*U45))/U49</f>
        <v>26.852768226178753</v>
      </c>
    </row>
    <row r="50" spans="1:39" x14ac:dyDescent="0.3">
      <c r="A50" s="36" t="s">
        <v>377</v>
      </c>
      <c r="B50" s="37"/>
      <c r="C50" s="37" t="s">
        <v>353</v>
      </c>
      <c r="D50" s="44"/>
      <c r="E50" s="40">
        <v>21.173160173160174</v>
      </c>
      <c r="F50"/>
      <c r="T50"/>
      <c r="V50">
        <f>MEDIAN(V16:V21,V28:V45)</f>
        <v>21.173160173160174</v>
      </c>
    </row>
    <row r="51" spans="1:39" x14ac:dyDescent="0.3">
      <c r="A51" s="46" t="s">
        <v>377</v>
      </c>
      <c r="B51" s="43"/>
      <c r="C51" s="43" t="s">
        <v>211</v>
      </c>
      <c r="D51" s="47"/>
      <c r="E51" s="52">
        <v>23.64375674166066</v>
      </c>
      <c r="F51"/>
      <c r="T51"/>
      <c r="V51">
        <f>AVERAGE(V16:V21,V28:V45)</f>
        <v>23.64375674166066</v>
      </c>
    </row>
    <row r="52" spans="1:39" ht="15" thickBot="1" x14ac:dyDescent="0.35">
      <c r="A52" s="38" t="s">
        <v>377</v>
      </c>
      <c r="B52" s="39"/>
      <c r="C52" s="39" t="s">
        <v>366</v>
      </c>
      <c r="D52" s="45"/>
      <c r="E52" s="41">
        <v>26.501878120070959</v>
      </c>
      <c r="F52"/>
      <c r="T52"/>
      <c r="U52">
        <f>U25+U49</f>
        <v>41</v>
      </c>
      <c r="V52">
        <f>((V25*U25)+(V49*U49))/U52</f>
        <v>26.501878120070959</v>
      </c>
    </row>
    <row r="53" spans="1:39" ht="15" thickBot="1" x14ac:dyDescent="0.35"/>
    <row r="54" spans="1:39" ht="15" thickBot="1" x14ac:dyDescent="0.35">
      <c r="A54" s="48" t="s">
        <v>355</v>
      </c>
      <c r="B54" s="49"/>
      <c r="C54" s="49"/>
      <c r="D54" s="49"/>
      <c r="E54" s="49"/>
      <c r="F54" s="49"/>
      <c r="G54" s="49"/>
      <c r="H54" s="49"/>
      <c r="I54" s="49"/>
      <c r="J54" s="49"/>
      <c r="K54" s="49"/>
      <c r="L54" s="49"/>
      <c r="M54" s="49"/>
      <c r="N54" s="49"/>
      <c r="O54" s="49"/>
      <c r="P54" s="49"/>
      <c r="Q54" s="49"/>
      <c r="R54" s="49"/>
      <c r="S54" s="49"/>
      <c r="T54" s="49"/>
      <c r="V54" s="49"/>
      <c r="W54" s="49"/>
      <c r="Y54" s="49"/>
      <c r="Z54" s="49"/>
      <c r="AA54" s="49"/>
      <c r="AB54" s="49"/>
      <c r="AC54" s="50"/>
      <c r="AD54" s="50"/>
      <c r="AE54" s="50"/>
      <c r="AF54" s="51"/>
      <c r="AG54" s="5"/>
      <c r="AH54" s="4"/>
      <c r="AI54" s="4"/>
      <c r="AJ54" s="4"/>
      <c r="AK54" s="4"/>
      <c r="AL54" s="4"/>
      <c r="AM54" s="4"/>
    </row>
    <row r="55" spans="1:39" s="2" customFormat="1" x14ac:dyDescent="0.3">
      <c r="A55"/>
      <c r="B55"/>
      <c r="C55"/>
      <c r="D55"/>
      <c r="E55"/>
      <c r="F55"/>
      <c r="G55"/>
      <c r="H55"/>
      <c r="I55"/>
      <c r="J55"/>
      <c r="K55"/>
      <c r="L55"/>
      <c r="M55"/>
      <c r="N55"/>
      <c r="O55"/>
      <c r="P55"/>
      <c r="Q55"/>
      <c r="R55"/>
      <c r="S55"/>
      <c r="T55"/>
      <c r="U55"/>
      <c r="V55"/>
      <c r="W55"/>
      <c r="X55"/>
      <c r="Y55"/>
      <c r="Z55"/>
      <c r="AA55"/>
      <c r="AB55"/>
      <c r="AC55"/>
      <c r="AD55"/>
      <c r="AE55"/>
      <c r="AF55"/>
      <c r="AG55"/>
      <c r="AH55"/>
      <c r="AI55"/>
      <c r="AJ55"/>
      <c r="AK55"/>
      <c r="AL55"/>
    </row>
    <row r="56" spans="1:39" s="2" customFormat="1" x14ac:dyDescent="0.3">
      <c r="A56" t="s">
        <v>159</v>
      </c>
      <c r="B56" t="s">
        <v>150</v>
      </c>
      <c r="C56" t="s">
        <v>109</v>
      </c>
      <c r="D56" t="s">
        <v>160</v>
      </c>
      <c r="E56"/>
      <c r="F56"/>
      <c r="G56"/>
      <c r="H56"/>
      <c r="I56"/>
      <c r="J56"/>
      <c r="K56"/>
      <c r="L56"/>
      <c r="M56"/>
      <c r="N56"/>
      <c r="O56">
        <v>5</v>
      </c>
      <c r="P56">
        <v>2.2999999999999998</v>
      </c>
      <c r="Q56">
        <v>39.549999999999997</v>
      </c>
      <c r="R56"/>
      <c r="S56"/>
      <c r="T56"/>
      <c r="U56"/>
      <c r="V56"/>
      <c r="W56"/>
      <c r="X56"/>
      <c r="Y56"/>
      <c r="Z56"/>
      <c r="AA56"/>
      <c r="AB56"/>
      <c r="AC56"/>
      <c r="AD56" t="s">
        <v>158</v>
      </c>
      <c r="AE56"/>
      <c r="AF56"/>
      <c r="AG56"/>
      <c r="AH56"/>
      <c r="AI56"/>
      <c r="AJ56"/>
      <c r="AK56"/>
      <c r="AL56"/>
    </row>
    <row r="57" spans="1:39" s="2" customFormat="1"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row>
    <row r="58" spans="1:39" s="2" customFormat="1" x14ac:dyDescent="0.3">
      <c r="A58"/>
      <c r="B58"/>
      <c r="C58"/>
      <c r="D58"/>
      <c r="E58"/>
      <c r="F58"/>
      <c r="G58"/>
      <c r="H58"/>
      <c r="I58"/>
      <c r="J58"/>
      <c r="K58"/>
      <c r="L58"/>
      <c r="M58"/>
      <c r="N58"/>
      <c r="O58"/>
      <c r="P58"/>
      <c r="Q58"/>
      <c r="R58"/>
      <c r="S58"/>
      <c r="T58"/>
      <c r="U58"/>
      <c r="V58"/>
      <c r="W58"/>
      <c r="X58"/>
      <c r="Y58"/>
      <c r="Z58"/>
      <c r="AA58"/>
      <c r="AB58"/>
      <c r="AC58"/>
      <c r="AD58"/>
      <c r="AE58"/>
      <c r="AF58"/>
      <c r="AG58"/>
      <c r="AH58"/>
      <c r="AI58"/>
      <c r="AJ58"/>
      <c r="AK58"/>
      <c r="AL58"/>
    </row>
    <row r="59" spans="1:39" s="2" customFormat="1" x14ac:dyDescent="0.3">
      <c r="A59"/>
      <c r="B59"/>
      <c r="C59"/>
      <c r="D59"/>
      <c r="E59"/>
      <c r="F59"/>
      <c r="G59"/>
      <c r="H59"/>
      <c r="I59"/>
      <c r="J59"/>
      <c r="K59"/>
      <c r="L59"/>
      <c r="M59"/>
      <c r="N59"/>
      <c r="O59"/>
      <c r="P59"/>
      <c r="Q59"/>
      <c r="R59"/>
      <c r="S59"/>
      <c r="T59"/>
      <c r="U59"/>
      <c r="V59"/>
      <c r="W59"/>
      <c r="X59"/>
      <c r="Y59"/>
      <c r="Z59"/>
      <c r="AA59"/>
      <c r="AB59"/>
      <c r="AC59"/>
      <c r="AD59"/>
      <c r="AE59"/>
      <c r="AF59"/>
      <c r="AG59"/>
      <c r="AH59"/>
      <c r="AI59"/>
      <c r="AJ59"/>
      <c r="AK59"/>
      <c r="AL59"/>
    </row>
    <row r="60" spans="1:39" s="2" customFormat="1" x14ac:dyDescent="0.3">
      <c r="A60" s="20"/>
      <c r="B60" s="31"/>
      <c r="C60" s="20"/>
      <c r="D60" s="31"/>
      <c r="E60" s="35"/>
      <c r="F60" s="25"/>
      <c r="G60" s="25"/>
      <c r="H60" s="25"/>
      <c r="I60" s="32"/>
      <c r="J60" s="32"/>
      <c r="K60" s="25"/>
      <c r="L60" s="31"/>
      <c r="M60" s="31"/>
      <c r="N60" s="25"/>
      <c r="O60" s="33"/>
      <c r="P60" s="25"/>
      <c r="Q60" s="25"/>
      <c r="R60" s="25"/>
      <c r="S60" s="34"/>
      <c r="T60" s="35"/>
      <c r="U60"/>
      <c r="V60" s="35"/>
      <c r="W60" s="25"/>
      <c r="X60"/>
      <c r="Y60" s="29"/>
      <c r="Z60" s="25"/>
      <c r="AA60" s="25"/>
      <c r="AB60" s="25"/>
      <c r="AC60" s="25"/>
      <c r="AD60" s="20"/>
      <c r="AE60" s="25"/>
      <c r="AF60" s="25"/>
    </row>
    <row r="61" spans="1:39" s="2" customFormat="1" x14ac:dyDescent="0.3">
      <c r="A61" s="25"/>
      <c r="B61" s="25"/>
      <c r="C61" s="25"/>
      <c r="D61" s="30"/>
      <c r="E61" s="29"/>
      <c r="F61" s="30"/>
      <c r="G61" s="25"/>
      <c r="H61" s="25"/>
      <c r="I61" s="25"/>
      <c r="J61" s="25"/>
      <c r="K61" s="25"/>
      <c r="L61" s="25"/>
      <c r="M61" s="25"/>
      <c r="N61" s="25"/>
      <c r="O61" s="25"/>
      <c r="P61" s="25"/>
      <c r="Q61" s="25"/>
      <c r="R61" s="25"/>
      <c r="S61" s="25"/>
      <c r="T61" s="29"/>
      <c r="U61"/>
      <c r="V61" s="29"/>
      <c r="W61" s="25"/>
      <c r="X61"/>
      <c r="Y61" s="25"/>
      <c r="Z61" s="25"/>
      <c r="AA61" s="25"/>
      <c r="AB61" s="25"/>
      <c r="AC61" s="25"/>
      <c r="AD61" s="25"/>
      <c r="AE61" s="25"/>
      <c r="AF61" s="25"/>
    </row>
    <row r="62" spans="1:39" s="2" customFormat="1" x14ac:dyDescent="0.3">
      <c r="A62" s="25"/>
      <c r="B62" s="25"/>
      <c r="C62" s="25"/>
      <c r="D62" s="30"/>
      <c r="E62" s="29"/>
      <c r="F62" s="30"/>
      <c r="G62" s="25"/>
      <c r="H62" s="25"/>
      <c r="I62" s="25"/>
      <c r="J62" s="25"/>
      <c r="K62" s="25"/>
      <c r="L62" s="25"/>
      <c r="M62" s="25"/>
      <c r="N62" s="25"/>
      <c r="O62" s="25"/>
      <c r="P62" s="25"/>
      <c r="Q62" s="25"/>
      <c r="R62" s="25"/>
      <c r="S62" s="25"/>
      <c r="T62" s="29"/>
      <c r="U62"/>
      <c r="V62" s="29"/>
      <c r="W62" s="25"/>
      <c r="X62"/>
      <c r="Y62" s="25"/>
      <c r="Z62" s="25"/>
      <c r="AA62" s="25"/>
      <c r="AB62" s="25"/>
      <c r="AC62" s="25"/>
      <c r="AD62" s="25"/>
      <c r="AE62" s="25"/>
      <c r="AF62" s="25"/>
    </row>
    <row r="63" spans="1:39" s="2" customFormat="1" x14ac:dyDescent="0.3">
      <c r="A63" s="18"/>
      <c r="B63" s="31"/>
      <c r="C63" s="20"/>
      <c r="D63" s="31"/>
      <c r="E63" s="35"/>
      <c r="F63" s="25"/>
      <c r="G63" s="25"/>
      <c r="H63" s="25"/>
      <c r="I63" s="32"/>
      <c r="J63" s="32"/>
      <c r="K63" s="25"/>
      <c r="L63" s="31"/>
      <c r="M63" s="31"/>
      <c r="N63" s="25"/>
      <c r="O63" s="33"/>
      <c r="P63" s="25"/>
      <c r="Q63" s="25"/>
      <c r="R63" s="25"/>
      <c r="S63" s="34"/>
      <c r="T63" s="35"/>
      <c r="U63"/>
      <c r="V63" s="35"/>
      <c r="W63" s="25"/>
      <c r="X63"/>
      <c r="Y63" s="29"/>
      <c r="Z63" s="25"/>
      <c r="AA63" s="25"/>
      <c r="AB63" s="25"/>
      <c r="AC63" s="25"/>
      <c r="AD63" s="18"/>
      <c r="AE63" s="25"/>
      <c r="AF63" s="25"/>
    </row>
    <row r="64" spans="1:39" s="2" customFormat="1" x14ac:dyDescent="0.3">
      <c r="A64" s="25"/>
      <c r="B64" s="25"/>
      <c r="C64" s="25"/>
      <c r="D64" s="30"/>
      <c r="E64" s="29"/>
      <c r="F64" s="30"/>
      <c r="G64" s="25"/>
      <c r="H64" s="25"/>
      <c r="I64" s="25"/>
      <c r="J64" s="25"/>
      <c r="K64" s="25"/>
      <c r="L64" s="25"/>
      <c r="M64" s="25"/>
      <c r="N64" s="25"/>
      <c r="O64" s="25"/>
      <c r="P64" s="25"/>
      <c r="Q64" s="25"/>
      <c r="R64" s="25"/>
      <c r="S64" s="25"/>
      <c r="T64" s="29"/>
      <c r="U64"/>
      <c r="V64" s="29"/>
      <c r="W64" s="25"/>
      <c r="X64"/>
      <c r="Y64" s="25"/>
      <c r="Z64" s="25"/>
      <c r="AA64" s="25"/>
      <c r="AB64" s="25"/>
      <c r="AC64" s="25"/>
      <c r="AD64" s="25"/>
      <c r="AE64" s="25"/>
      <c r="AF64" s="25"/>
    </row>
    <row r="65" spans="1:32" s="2" customFormat="1" x14ac:dyDescent="0.3">
      <c r="A65" s="25"/>
      <c r="B65" s="25"/>
      <c r="C65" s="25"/>
      <c r="D65" s="30"/>
      <c r="E65" s="29"/>
      <c r="F65" s="30"/>
      <c r="G65" s="25"/>
      <c r="H65" s="25"/>
      <c r="I65" s="25"/>
      <c r="J65" s="25"/>
      <c r="K65" s="25"/>
      <c r="L65" s="25"/>
      <c r="M65" s="25"/>
      <c r="N65" s="25"/>
      <c r="O65" s="25"/>
      <c r="P65" s="25"/>
      <c r="Q65" s="25"/>
      <c r="R65" s="25"/>
      <c r="S65" s="25"/>
      <c r="T65" s="29"/>
      <c r="U65"/>
      <c r="V65" s="29"/>
      <c r="W65" s="25"/>
      <c r="X65"/>
      <c r="Y65" s="25"/>
      <c r="Z65" s="25"/>
      <c r="AA65" s="25"/>
      <c r="AB65" s="25"/>
      <c r="AC65" s="25"/>
      <c r="AD65" s="25"/>
      <c r="AE65" s="25"/>
      <c r="AF65" s="25"/>
    </row>
    <row r="66" spans="1:32" s="2" customFormat="1" x14ac:dyDescent="0.3">
      <c r="D66" s="15"/>
      <c r="E66" s="16"/>
      <c r="F66" s="15"/>
      <c r="T66" s="16"/>
      <c r="U66"/>
      <c r="V66" s="16"/>
      <c r="X66"/>
    </row>
    <row r="67" spans="1:32" s="2" customFormat="1" x14ac:dyDescent="0.3">
      <c r="D67" s="15"/>
      <c r="E67" s="16"/>
      <c r="F67" s="15"/>
      <c r="T67" s="16"/>
      <c r="U67"/>
      <c r="V67" s="16"/>
      <c r="X67"/>
    </row>
    <row r="68" spans="1:32" s="2" customFormat="1" x14ac:dyDescent="0.3">
      <c r="D68" s="15"/>
      <c r="E68" s="16"/>
      <c r="F68" s="15"/>
      <c r="T68" s="16"/>
      <c r="U68"/>
      <c r="V68" s="16"/>
      <c r="X68"/>
    </row>
    <row r="69" spans="1:32" s="2" customFormat="1" x14ac:dyDescent="0.3">
      <c r="A69" s="17"/>
      <c r="B69" s="19"/>
      <c r="C69" s="19"/>
      <c r="D69" s="19"/>
      <c r="E69" s="24"/>
      <c r="F69" s="3"/>
      <c r="G69" s="3"/>
      <c r="H69" s="3"/>
      <c r="I69" s="21"/>
      <c r="J69" s="21"/>
      <c r="L69" s="19"/>
      <c r="M69" s="19"/>
      <c r="O69" s="22"/>
      <c r="P69" s="3"/>
      <c r="S69" s="23"/>
      <c r="T69" s="24"/>
      <c r="U69"/>
      <c r="V69" s="24"/>
      <c r="X69"/>
      <c r="Y69" s="16"/>
      <c r="AD69" s="18"/>
    </row>
    <row r="70" spans="1:32" s="2" customFormat="1" ht="21.75" customHeight="1" x14ac:dyDescent="0.3">
      <c r="A70" s="17"/>
      <c r="B70" s="19"/>
      <c r="C70" s="19"/>
      <c r="D70" s="19"/>
      <c r="E70" s="24"/>
      <c r="F70" s="3"/>
      <c r="G70" s="3"/>
      <c r="H70" s="3"/>
      <c r="I70" s="21"/>
      <c r="J70" s="21"/>
      <c r="L70" s="19"/>
      <c r="M70" s="19"/>
      <c r="O70" s="22"/>
      <c r="P70" s="3"/>
      <c r="S70" s="23"/>
      <c r="T70" s="24"/>
      <c r="U70"/>
      <c r="V70" s="24"/>
      <c r="X70"/>
      <c r="Y70" s="16"/>
      <c r="AD70" s="18"/>
    </row>
    <row r="71" spans="1:32" s="2" customFormat="1" x14ac:dyDescent="0.3">
      <c r="D71" s="15"/>
      <c r="E71" s="16"/>
      <c r="F71" s="15"/>
      <c r="T71" s="16"/>
      <c r="U71"/>
      <c r="V71" s="16"/>
      <c r="X71"/>
    </row>
    <row r="72" spans="1:32" s="2" customFormat="1" x14ac:dyDescent="0.3">
      <c r="D72" s="15"/>
      <c r="E72" s="16"/>
      <c r="F72" s="15"/>
      <c r="T72" s="16"/>
      <c r="U72"/>
      <c r="V72" s="16"/>
      <c r="X72"/>
    </row>
    <row r="73" spans="1:32" s="2" customFormat="1" x14ac:dyDescent="0.3">
      <c r="D73" s="15"/>
      <c r="E73" s="16"/>
      <c r="F73" s="15"/>
      <c r="T73" s="16"/>
      <c r="U73"/>
      <c r="V73" s="16"/>
      <c r="X73"/>
    </row>
    <row r="74" spans="1:32" s="2" customFormat="1" x14ac:dyDescent="0.3">
      <c r="D74" s="15"/>
      <c r="E74" s="16"/>
      <c r="F74" s="15"/>
      <c r="T74" s="16"/>
      <c r="U74"/>
      <c r="V74" s="16"/>
      <c r="X74"/>
    </row>
    <row r="75" spans="1:32" s="2" customFormat="1" x14ac:dyDescent="0.3">
      <c r="D75" s="15"/>
      <c r="E75" s="16"/>
      <c r="F75" s="15"/>
      <c r="T75" s="16"/>
      <c r="U75"/>
      <c r="V75" s="16"/>
      <c r="X75"/>
    </row>
    <row r="76" spans="1:32" s="2" customFormat="1" x14ac:dyDescent="0.3">
      <c r="D76" s="15"/>
      <c r="E76" s="16"/>
      <c r="F76" s="15"/>
      <c r="T76" s="16"/>
      <c r="U76"/>
      <c r="V76" s="16"/>
      <c r="X76"/>
    </row>
    <row r="77" spans="1:32" s="2" customFormat="1" x14ac:dyDescent="0.3">
      <c r="D77" s="15"/>
      <c r="E77" s="16"/>
      <c r="F77" s="15"/>
      <c r="T77" s="16"/>
      <c r="U77"/>
      <c r="V77" s="16"/>
      <c r="X77"/>
    </row>
    <row r="78" spans="1:32" s="2" customFormat="1" x14ac:dyDescent="0.3">
      <c r="D78" s="15"/>
      <c r="E78" s="16"/>
      <c r="F78" s="15"/>
      <c r="T78" s="16"/>
      <c r="U78"/>
      <c r="V78" s="16"/>
      <c r="X78"/>
    </row>
    <row r="79" spans="1:32" s="2" customFormat="1" ht="15" customHeight="1" x14ac:dyDescent="0.3">
      <c r="D79" s="15"/>
      <c r="E79" s="16"/>
      <c r="F79" s="15"/>
      <c r="T79" s="16"/>
      <c r="U79"/>
      <c r="V79" s="16"/>
      <c r="X79"/>
    </row>
    <row r="80" spans="1:32" s="2" customFormat="1" x14ac:dyDescent="0.3">
      <c r="D80" s="15"/>
      <c r="E80" s="16"/>
      <c r="F80" s="15"/>
      <c r="T80" s="16"/>
      <c r="U80"/>
      <c r="V80" s="16"/>
      <c r="X80"/>
    </row>
    <row r="81" spans="4:24" s="2" customFormat="1" x14ac:dyDescent="0.3">
      <c r="D81" s="15"/>
      <c r="E81" s="16"/>
      <c r="F81" s="15"/>
      <c r="T81" s="16"/>
      <c r="U81"/>
      <c r="V81" s="16"/>
      <c r="X81"/>
    </row>
    <row r="82" spans="4:24" s="2" customFormat="1" x14ac:dyDescent="0.3">
      <c r="D82" s="15"/>
      <c r="E82" s="16"/>
      <c r="F82" s="15"/>
      <c r="T82" s="16"/>
      <c r="U82"/>
      <c r="V82" s="16"/>
      <c r="X82"/>
    </row>
    <row r="83" spans="4:24" s="2" customFormat="1" x14ac:dyDescent="0.3">
      <c r="D83" s="15"/>
      <c r="E83" s="16"/>
      <c r="F83" s="15"/>
      <c r="T83" s="16"/>
      <c r="U83"/>
      <c r="V83" s="16"/>
      <c r="X83"/>
    </row>
    <row r="84" spans="4:24" s="2" customFormat="1" x14ac:dyDescent="0.3">
      <c r="D84" s="15"/>
      <c r="E84" s="16"/>
      <c r="F84" s="15"/>
      <c r="T84" s="16"/>
      <c r="U84"/>
      <c r="V84" s="16"/>
      <c r="X84"/>
    </row>
    <row r="85" spans="4:24" s="2" customFormat="1" x14ac:dyDescent="0.3">
      <c r="D85" s="15"/>
      <c r="E85" s="16"/>
      <c r="F85" s="15"/>
      <c r="T85" s="16"/>
      <c r="U85"/>
      <c r="V85" s="16"/>
      <c r="X85"/>
    </row>
    <row r="86" spans="4:24" s="2" customFormat="1" x14ac:dyDescent="0.3">
      <c r="E86" s="16"/>
      <c r="F86" s="15"/>
      <c r="T86" s="16"/>
      <c r="U86"/>
      <c r="V86" s="16"/>
      <c r="X86"/>
    </row>
    <row r="87" spans="4:24" s="2" customFormat="1" x14ac:dyDescent="0.3">
      <c r="E87" s="16"/>
      <c r="F87" s="15"/>
      <c r="T87" s="16"/>
      <c r="U87"/>
      <c r="V87" s="16"/>
      <c r="X87"/>
    </row>
    <row r="88" spans="4:24" s="2" customFormat="1" x14ac:dyDescent="0.3">
      <c r="E88" s="16"/>
      <c r="F88" s="15"/>
      <c r="T88" s="16"/>
      <c r="U88"/>
      <c r="V88" s="16"/>
      <c r="X88"/>
    </row>
    <row r="89" spans="4:24" s="2" customFormat="1" x14ac:dyDescent="0.3">
      <c r="E89" s="16"/>
      <c r="F89" s="15"/>
      <c r="T89" s="16"/>
      <c r="U89"/>
      <c r="V89" s="16"/>
      <c r="X89"/>
    </row>
    <row r="90" spans="4:24" s="2" customFormat="1" x14ac:dyDescent="0.3">
      <c r="E90" s="16"/>
      <c r="F90" s="15"/>
      <c r="T90" s="16"/>
      <c r="U90"/>
      <c r="V90" s="16"/>
      <c r="X90"/>
    </row>
    <row r="91" spans="4:24" s="2" customFormat="1" x14ac:dyDescent="0.3">
      <c r="E91" s="16"/>
      <c r="F91" s="15"/>
      <c r="T91" s="16"/>
      <c r="U91"/>
      <c r="V91" s="16"/>
      <c r="X91"/>
    </row>
    <row r="92" spans="4:24" s="2" customFormat="1" x14ac:dyDescent="0.3">
      <c r="E92" s="16"/>
      <c r="F92" s="15"/>
      <c r="T92" s="16"/>
      <c r="U92"/>
      <c r="V92" s="16"/>
      <c r="X92"/>
    </row>
    <row r="93" spans="4:24" s="2" customFormat="1" x14ac:dyDescent="0.3">
      <c r="E93" s="16"/>
      <c r="F93" s="15"/>
      <c r="T93" s="16"/>
      <c r="U93"/>
      <c r="V93" s="16"/>
      <c r="X93"/>
    </row>
    <row r="94" spans="4:24" s="2" customFormat="1" x14ac:dyDescent="0.3">
      <c r="E94" s="16"/>
      <c r="F94" s="15"/>
      <c r="T94" s="16"/>
      <c r="U94"/>
      <c r="V94" s="16"/>
      <c r="X94"/>
    </row>
    <row r="95" spans="4:24" s="2" customFormat="1" x14ac:dyDescent="0.3">
      <c r="E95" s="16"/>
      <c r="F95" s="15"/>
      <c r="T95" s="16"/>
      <c r="U95"/>
      <c r="V95" s="16"/>
      <c r="X95"/>
    </row>
    <row r="96" spans="4:24" s="2" customFormat="1" x14ac:dyDescent="0.3">
      <c r="E96" s="16"/>
      <c r="F96" s="15"/>
      <c r="T96" s="16"/>
      <c r="U96"/>
      <c r="V96" s="16"/>
      <c r="X96"/>
    </row>
    <row r="97" spans="5:42" s="2" customFormat="1" x14ac:dyDescent="0.3">
      <c r="E97" s="16"/>
      <c r="F97" s="15"/>
      <c r="T97" s="16"/>
      <c r="U97"/>
      <c r="V97" s="16"/>
      <c r="X97"/>
    </row>
    <row r="98" spans="5:42" s="2" customFormat="1" x14ac:dyDescent="0.3">
      <c r="E98" s="16"/>
      <c r="F98" s="15"/>
      <c r="T98" s="16"/>
      <c r="U98"/>
      <c r="V98" s="16"/>
      <c r="X98"/>
    </row>
    <row r="99" spans="5:42" s="2" customFormat="1" x14ac:dyDescent="0.3">
      <c r="E99" s="16"/>
      <c r="F99" s="15"/>
      <c r="T99" s="16"/>
      <c r="U99"/>
      <c r="V99" s="16"/>
      <c r="X99"/>
    </row>
    <row r="100" spans="5:42" s="2" customFormat="1" x14ac:dyDescent="0.3">
      <c r="E100" s="16"/>
      <c r="F100" s="15"/>
      <c r="T100" s="16"/>
      <c r="U100"/>
      <c r="V100" s="16"/>
      <c r="X100"/>
    </row>
    <row r="101" spans="5:42" s="2" customFormat="1" x14ac:dyDescent="0.3">
      <c r="E101" s="16"/>
      <c r="F101" s="15"/>
      <c r="T101" s="16"/>
      <c r="U101"/>
      <c r="V101" s="16"/>
      <c r="X101"/>
    </row>
    <row r="102" spans="5:42" s="2" customFormat="1" x14ac:dyDescent="0.3">
      <c r="E102" s="16"/>
      <c r="F102" s="15"/>
      <c r="T102" s="16"/>
      <c r="U102"/>
      <c r="V102" s="16"/>
      <c r="X102"/>
      <c r="AO102" s="42"/>
      <c r="AP102" s="42"/>
    </row>
    <row r="103" spans="5:42" s="2" customFormat="1" x14ac:dyDescent="0.3">
      <c r="E103" s="16"/>
      <c r="F103" s="15"/>
      <c r="T103" s="16"/>
      <c r="U103"/>
      <c r="V103" s="16"/>
      <c r="X103"/>
    </row>
    <row r="104" spans="5:42" s="2" customFormat="1" x14ac:dyDescent="0.3">
      <c r="E104" s="16"/>
      <c r="F104" s="15"/>
      <c r="T104" s="16"/>
      <c r="U104"/>
      <c r="V104" s="16"/>
      <c r="X104"/>
    </row>
    <row r="105" spans="5:42" s="2" customFormat="1" x14ac:dyDescent="0.3">
      <c r="E105" s="16"/>
      <c r="F105" s="15"/>
      <c r="T105" s="16"/>
      <c r="U105"/>
      <c r="V105" s="16"/>
      <c r="X105"/>
    </row>
    <row r="106" spans="5:42" s="2" customFormat="1" x14ac:dyDescent="0.3">
      <c r="E106" s="16"/>
      <c r="F106" s="15"/>
      <c r="T106" s="16"/>
      <c r="U106"/>
      <c r="V106" s="16"/>
      <c r="X106"/>
    </row>
    <row r="107" spans="5:42" s="2" customFormat="1" x14ac:dyDescent="0.3">
      <c r="E107" s="16"/>
      <c r="F107" s="15"/>
      <c r="T107" s="16"/>
      <c r="U107"/>
      <c r="V107" s="16"/>
      <c r="X107"/>
    </row>
    <row r="108" spans="5:42" s="2" customFormat="1" x14ac:dyDescent="0.3">
      <c r="E108" s="16"/>
      <c r="F108" s="15"/>
      <c r="T108" s="16"/>
      <c r="U108"/>
      <c r="V108" s="16"/>
      <c r="X108"/>
    </row>
    <row r="109" spans="5:42" s="2" customFormat="1" x14ac:dyDescent="0.3">
      <c r="E109" s="16"/>
      <c r="F109" s="15"/>
      <c r="T109" s="16"/>
      <c r="U109"/>
      <c r="V109" s="16"/>
      <c r="X109"/>
    </row>
    <row r="110" spans="5:42" s="2" customFormat="1" x14ac:dyDescent="0.3">
      <c r="E110" s="16"/>
      <c r="F110" s="15"/>
      <c r="T110" s="16"/>
      <c r="U110"/>
      <c r="V110" s="16"/>
      <c r="X110"/>
    </row>
    <row r="111" spans="5:42" s="2" customFormat="1" x14ac:dyDescent="0.3">
      <c r="E111" s="16"/>
      <c r="F111" s="15"/>
      <c r="T111" s="16"/>
      <c r="U111"/>
      <c r="V111" s="16"/>
      <c r="X111"/>
    </row>
    <row r="112" spans="5:42" s="2" customFormat="1" x14ac:dyDescent="0.3">
      <c r="E112" s="16"/>
      <c r="F112" s="15"/>
      <c r="T112" s="16"/>
      <c r="U112"/>
      <c r="V112" s="16"/>
      <c r="X112"/>
    </row>
    <row r="113" spans="5:24" s="2" customFormat="1" x14ac:dyDescent="0.3">
      <c r="E113" s="16"/>
      <c r="F113" s="15"/>
      <c r="T113" s="16"/>
      <c r="U113"/>
      <c r="V113" s="16"/>
      <c r="X113"/>
    </row>
    <row r="114" spans="5:24" s="2" customFormat="1" x14ac:dyDescent="0.3">
      <c r="E114" s="16"/>
      <c r="F114" s="15"/>
      <c r="T114" s="16"/>
      <c r="U114"/>
      <c r="V114" s="16"/>
      <c r="X114"/>
    </row>
    <row r="115" spans="5:24" s="2" customFormat="1" x14ac:dyDescent="0.3">
      <c r="E115" s="16"/>
      <c r="F115" s="15"/>
      <c r="T115" s="16"/>
      <c r="U115"/>
      <c r="V115" s="16"/>
      <c r="X115"/>
    </row>
    <row r="116" spans="5:24" s="2" customFormat="1" x14ac:dyDescent="0.3">
      <c r="E116" s="16"/>
      <c r="F116" s="15"/>
      <c r="T116" s="16"/>
      <c r="U116"/>
      <c r="V116" s="16"/>
      <c r="X116"/>
    </row>
    <row r="117" spans="5:24" s="2" customFormat="1" x14ac:dyDescent="0.3">
      <c r="E117" s="16"/>
      <c r="F117" s="15"/>
      <c r="T117" s="16"/>
      <c r="U117"/>
      <c r="V117" s="16"/>
      <c r="X117"/>
    </row>
    <row r="118" spans="5:24" s="2" customFormat="1" x14ac:dyDescent="0.3">
      <c r="E118" s="16"/>
      <c r="F118" s="15"/>
      <c r="T118" s="16"/>
      <c r="U118"/>
      <c r="V118" s="16"/>
      <c r="X118"/>
    </row>
    <row r="119" spans="5:24" s="2" customFormat="1" x14ac:dyDescent="0.3">
      <c r="E119" s="16"/>
      <c r="F119" s="15"/>
      <c r="T119" s="16"/>
      <c r="U119"/>
      <c r="V119" s="16"/>
      <c r="X119"/>
    </row>
    <row r="120" spans="5:24" s="2" customFormat="1" x14ac:dyDescent="0.3">
      <c r="E120" s="16"/>
      <c r="F120" s="15"/>
      <c r="T120" s="16"/>
      <c r="U120"/>
      <c r="V120" s="16"/>
      <c r="X120"/>
    </row>
    <row r="121" spans="5:24" s="2" customFormat="1" x14ac:dyDescent="0.3">
      <c r="E121" s="16"/>
      <c r="F121" s="15"/>
      <c r="T121" s="16"/>
      <c r="U121"/>
      <c r="V121" s="16"/>
      <c r="X121"/>
    </row>
    <row r="122" spans="5:24" s="2" customFormat="1" x14ac:dyDescent="0.3">
      <c r="E122" s="16"/>
      <c r="F122" s="15"/>
      <c r="T122" s="16"/>
      <c r="U122"/>
      <c r="V122" s="16"/>
      <c r="X122"/>
    </row>
    <row r="123" spans="5:24" s="2" customFormat="1" x14ac:dyDescent="0.3">
      <c r="E123" s="16"/>
      <c r="F123" s="15"/>
      <c r="T123" s="16"/>
      <c r="U123"/>
      <c r="V123" s="16"/>
      <c r="X123"/>
    </row>
    <row r="124" spans="5:24" s="2" customFormat="1" x14ac:dyDescent="0.3">
      <c r="E124" s="16"/>
      <c r="F124" s="15"/>
      <c r="T124" s="16"/>
      <c r="U124"/>
      <c r="V124" s="16"/>
      <c r="X124"/>
    </row>
    <row r="125" spans="5:24" s="2" customFormat="1" x14ac:dyDescent="0.3">
      <c r="E125" s="16"/>
      <c r="F125" s="15"/>
      <c r="T125" s="16"/>
      <c r="U125"/>
      <c r="V125" s="16"/>
      <c r="X125"/>
    </row>
    <row r="126" spans="5:24" s="2" customFormat="1" x14ac:dyDescent="0.3">
      <c r="E126" s="16"/>
      <c r="F126" s="15"/>
      <c r="T126" s="16"/>
      <c r="U126"/>
      <c r="V126" s="16"/>
      <c r="X126"/>
    </row>
    <row r="127" spans="5:24" s="2" customFormat="1" x14ac:dyDescent="0.3">
      <c r="E127" s="16"/>
      <c r="F127" s="15"/>
      <c r="T127" s="16"/>
      <c r="U127"/>
      <c r="V127" s="16"/>
      <c r="X127"/>
    </row>
    <row r="128" spans="5:24" s="2" customFormat="1" x14ac:dyDescent="0.3">
      <c r="E128" s="16"/>
      <c r="F128" s="15"/>
      <c r="T128" s="16"/>
      <c r="U128"/>
      <c r="V128" s="16"/>
      <c r="X128"/>
    </row>
    <row r="129" spans="4:24" s="2" customFormat="1" x14ac:dyDescent="0.3">
      <c r="E129" s="16"/>
      <c r="F129" s="15"/>
      <c r="T129" s="16"/>
      <c r="U129"/>
      <c r="V129" s="16"/>
      <c r="X129"/>
    </row>
    <row r="130" spans="4:24" s="2" customFormat="1" x14ac:dyDescent="0.3">
      <c r="E130" s="16"/>
      <c r="F130" s="15"/>
      <c r="T130" s="16"/>
      <c r="U130"/>
      <c r="V130" s="16"/>
      <c r="X130"/>
    </row>
    <row r="131" spans="4:24" s="2" customFormat="1" x14ac:dyDescent="0.3">
      <c r="E131" s="16"/>
      <c r="F131" s="15"/>
      <c r="T131" s="16"/>
      <c r="U131"/>
      <c r="V131" s="16"/>
      <c r="X131"/>
    </row>
    <row r="132" spans="4:24" s="2" customFormat="1" x14ac:dyDescent="0.3">
      <c r="E132" s="16"/>
      <c r="F132" s="15"/>
      <c r="T132" s="16"/>
      <c r="U132"/>
      <c r="V132" s="16"/>
      <c r="X132"/>
    </row>
    <row r="133" spans="4:24" s="2" customFormat="1" x14ac:dyDescent="0.3">
      <c r="E133" s="16"/>
      <c r="F133" s="15"/>
      <c r="T133" s="16"/>
      <c r="U133"/>
      <c r="V133" s="16"/>
      <c r="X133"/>
    </row>
    <row r="134" spans="4:24" s="2" customFormat="1" x14ac:dyDescent="0.3">
      <c r="E134" s="16"/>
      <c r="F134" s="15"/>
      <c r="T134" s="16"/>
      <c r="U134"/>
      <c r="V134" s="16"/>
      <c r="X134"/>
    </row>
    <row r="135" spans="4:24" s="2" customFormat="1" x14ac:dyDescent="0.3">
      <c r="E135" s="16"/>
      <c r="F135" s="15"/>
      <c r="T135" s="16"/>
      <c r="U135"/>
      <c r="V135" s="16"/>
      <c r="X135"/>
    </row>
    <row r="136" spans="4:24" x14ac:dyDescent="0.3">
      <c r="D136"/>
    </row>
    <row r="137" spans="4:24" x14ac:dyDescent="0.3">
      <c r="D137"/>
    </row>
    <row r="138" spans="4:24" x14ac:dyDescent="0.3">
      <c r="D138"/>
    </row>
    <row r="139" spans="4:24" x14ac:dyDescent="0.3">
      <c r="D139"/>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43"/>
  <sheetViews>
    <sheetView zoomScaleNormal="100" workbookViewId="0">
      <pane xSplit="4" ySplit="5" topLeftCell="N30" activePane="bottomRight" state="frozen"/>
      <selection pane="topRight" activeCell="E1" sqref="E1"/>
      <selection pane="bottomLeft" activeCell="A5" sqref="A5"/>
      <selection pane="bottomRight" activeCell="T38" sqref="T38"/>
    </sheetView>
  </sheetViews>
  <sheetFormatPr defaultRowHeight="14.4" x14ac:dyDescent="0.3"/>
  <cols>
    <col min="1" max="1" width="15.44140625" customWidth="1"/>
    <col min="2" max="2" width="25.6640625" customWidth="1"/>
    <col min="3" max="3" width="12.6640625" customWidth="1"/>
    <col min="4" max="4" width="11.6640625" customWidth="1"/>
    <col min="5" max="5" width="13.109375" customWidth="1"/>
    <col min="6" max="7" width="17.6640625" customWidth="1"/>
    <col min="11" max="11" width="21.109375" customWidth="1"/>
    <col min="12" max="14" width="13.109375" customWidth="1"/>
    <col min="16" max="16" width="11.33203125" bestFit="1" customWidth="1"/>
    <col min="17" max="17" width="11.33203125" customWidth="1"/>
    <col min="18" max="18" width="13.109375" customWidth="1"/>
    <col min="19" max="19" width="11.6640625" bestFit="1" customWidth="1"/>
    <col min="20" max="20" width="18.44140625" customWidth="1"/>
  </cols>
  <sheetData>
    <row r="1" spans="1:50" x14ac:dyDescent="0.3">
      <c r="E1" t="s">
        <v>70</v>
      </c>
      <c r="K1" t="s">
        <v>70</v>
      </c>
      <c r="L1" t="s">
        <v>70</v>
      </c>
      <c r="M1" t="s">
        <v>70</v>
      </c>
      <c r="N1" t="s">
        <v>70</v>
      </c>
      <c r="O1" t="s">
        <v>70</v>
      </c>
      <c r="P1" t="s">
        <v>70</v>
      </c>
      <c r="R1" t="s">
        <v>70</v>
      </c>
      <c r="S1" t="s">
        <v>70</v>
      </c>
    </row>
    <row r="2" spans="1:50" s="2" customFormat="1" x14ac:dyDescent="0.3">
      <c r="A2" t="s">
        <v>280</v>
      </c>
      <c r="B2" t="s">
        <v>325</v>
      </c>
      <c r="C2" t="s">
        <v>111</v>
      </c>
      <c r="D2" t="s">
        <v>244</v>
      </c>
      <c r="E2" t="s">
        <v>337</v>
      </c>
      <c r="F2" t="s">
        <v>110</v>
      </c>
      <c r="G2" t="s">
        <v>199</v>
      </c>
      <c r="H2" t="s">
        <v>304</v>
      </c>
      <c r="I2" t="s">
        <v>304</v>
      </c>
      <c r="J2" t="s">
        <v>304</v>
      </c>
      <c r="K2" t="s">
        <v>73</v>
      </c>
      <c r="L2" t="s">
        <v>73</v>
      </c>
      <c r="M2"/>
      <c r="N2"/>
      <c r="O2" t="s">
        <v>73</v>
      </c>
      <c r="P2" t="s">
        <v>70</v>
      </c>
      <c r="Q2" t="s">
        <v>370</v>
      </c>
      <c r="R2" t="s">
        <v>337</v>
      </c>
      <c r="S2" t="s">
        <v>70</v>
      </c>
      <c r="T2" t="s">
        <v>12</v>
      </c>
      <c r="U2"/>
      <c r="V2"/>
      <c r="W2"/>
      <c r="X2"/>
      <c r="Y2"/>
      <c r="Z2"/>
      <c r="AA2"/>
      <c r="AB2"/>
      <c r="AC2"/>
      <c r="AD2"/>
      <c r="AE2"/>
      <c r="AF2"/>
      <c r="AG2"/>
      <c r="AH2"/>
      <c r="AI2"/>
      <c r="AJ2"/>
      <c r="AK2"/>
      <c r="AL2"/>
      <c r="AM2"/>
      <c r="AN2"/>
      <c r="AO2"/>
      <c r="AP2"/>
      <c r="AQ2"/>
      <c r="AR2"/>
      <c r="AS2"/>
      <c r="AT2"/>
      <c r="AU2"/>
      <c r="AV2"/>
      <c r="AW2"/>
      <c r="AX2"/>
    </row>
    <row r="3" spans="1:50" s="2" customFormat="1" x14ac:dyDescent="0.3">
      <c r="A3"/>
      <c r="B3"/>
      <c r="C3"/>
      <c r="D3"/>
      <c r="E3" t="s">
        <v>371</v>
      </c>
      <c r="F3" t="s">
        <v>196</v>
      </c>
      <c r="G3" t="s">
        <v>221</v>
      </c>
      <c r="H3" t="s">
        <v>308</v>
      </c>
      <c r="I3" t="s">
        <v>330</v>
      </c>
      <c r="J3" t="s">
        <v>329</v>
      </c>
      <c r="K3" t="s">
        <v>379</v>
      </c>
      <c r="L3" t="s">
        <v>75</v>
      </c>
      <c r="M3" t="s">
        <v>95</v>
      </c>
      <c r="N3" t="s">
        <v>326</v>
      </c>
      <c r="O3" t="s">
        <v>74</v>
      </c>
      <c r="P3" t="s">
        <v>331</v>
      </c>
      <c r="Q3"/>
      <c r="R3" t="s">
        <v>371</v>
      </c>
      <c r="S3" t="s">
        <v>11</v>
      </c>
      <c r="T3"/>
      <c r="U3"/>
      <c r="V3"/>
      <c r="W3"/>
      <c r="X3"/>
      <c r="Y3"/>
      <c r="Z3"/>
      <c r="AA3"/>
      <c r="AB3"/>
      <c r="AC3"/>
      <c r="AD3"/>
      <c r="AE3"/>
      <c r="AF3"/>
      <c r="AG3"/>
      <c r="AH3"/>
      <c r="AI3"/>
      <c r="AJ3"/>
      <c r="AK3"/>
      <c r="AL3"/>
      <c r="AM3"/>
      <c r="AN3"/>
      <c r="AO3"/>
      <c r="AP3"/>
      <c r="AQ3"/>
      <c r="AR3"/>
      <c r="AS3"/>
      <c r="AT3"/>
      <c r="AU3"/>
      <c r="AV3"/>
      <c r="AW3"/>
      <c r="AX3"/>
    </row>
    <row r="4" spans="1:50" s="2" customFormat="1" x14ac:dyDescent="0.3">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2" customFormat="1" x14ac:dyDescent="0.3">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2" customFormat="1" x14ac:dyDescent="0.3">
      <c r="A6" t="s">
        <v>28</v>
      </c>
      <c r="B6" t="s">
        <v>40</v>
      </c>
      <c r="C6" t="s">
        <v>102</v>
      </c>
      <c r="D6"/>
      <c r="E6" s="6">
        <v>10</v>
      </c>
      <c r="F6"/>
      <c r="G6">
        <v>1</v>
      </c>
      <c r="H6"/>
      <c r="I6"/>
      <c r="J6"/>
      <c r="K6">
        <v>115.7</v>
      </c>
      <c r="L6"/>
      <c r="M6"/>
      <c r="N6"/>
      <c r="O6"/>
      <c r="P6" s="6">
        <f t="shared" ref="P6:P11" si="0">S6*1/G6</f>
        <v>7</v>
      </c>
      <c r="Q6" s="6">
        <v>1</v>
      </c>
      <c r="R6" s="6">
        <f>P6/0.7</f>
        <v>10</v>
      </c>
      <c r="S6">
        <v>7</v>
      </c>
      <c r="T6" t="s">
        <v>72</v>
      </c>
      <c r="U6" t="s">
        <v>32</v>
      </c>
      <c r="V6"/>
      <c r="W6"/>
      <c r="X6"/>
      <c r="Y6"/>
      <c r="Z6"/>
      <c r="AA6"/>
      <c r="AB6"/>
      <c r="AC6"/>
      <c r="AD6"/>
      <c r="AE6"/>
      <c r="AF6"/>
      <c r="AG6"/>
      <c r="AH6"/>
      <c r="AI6"/>
      <c r="AJ6"/>
      <c r="AK6"/>
      <c r="AL6"/>
      <c r="AM6"/>
      <c r="AN6"/>
      <c r="AO6"/>
      <c r="AP6"/>
      <c r="AQ6"/>
      <c r="AR6"/>
      <c r="AS6"/>
      <c r="AT6"/>
      <c r="AU6"/>
      <c r="AV6"/>
      <c r="AW6"/>
      <c r="AX6"/>
    </row>
    <row r="7" spans="1:50" s="2" customFormat="1" x14ac:dyDescent="0.3">
      <c r="A7" t="s">
        <v>28</v>
      </c>
      <c r="B7" t="s">
        <v>59</v>
      </c>
      <c r="C7"/>
      <c r="D7"/>
      <c r="E7" s="6">
        <v>22.942857142857147</v>
      </c>
      <c r="F7">
        <v>0.6</v>
      </c>
      <c r="G7">
        <v>1</v>
      </c>
      <c r="H7"/>
      <c r="I7"/>
      <c r="J7"/>
      <c r="K7">
        <f>11*24</f>
        <v>264</v>
      </c>
      <c r="L7"/>
      <c r="M7"/>
      <c r="N7"/>
      <c r="O7"/>
      <c r="P7" s="6">
        <f t="shared" si="0"/>
        <v>16.060000000000002</v>
      </c>
      <c r="Q7" s="6">
        <v>4</v>
      </c>
      <c r="R7" s="6">
        <f t="shared" ref="R7:R18" si="1">P7/0.7</f>
        <v>22.942857142857147</v>
      </c>
      <c r="S7">
        <f>K7*100/(F7*1000000/365)</f>
        <v>16.060000000000002</v>
      </c>
      <c r="T7" t="s">
        <v>220</v>
      </c>
      <c r="U7"/>
      <c r="V7"/>
      <c r="W7"/>
      <c r="X7"/>
      <c r="Y7"/>
      <c r="Z7"/>
      <c r="AA7"/>
      <c r="AB7"/>
      <c r="AC7"/>
      <c r="AD7"/>
      <c r="AE7"/>
      <c r="AF7"/>
      <c r="AG7"/>
      <c r="AH7"/>
      <c r="AI7"/>
      <c r="AJ7"/>
      <c r="AK7"/>
      <c r="AL7"/>
      <c r="AM7"/>
      <c r="AN7"/>
      <c r="AO7"/>
      <c r="AP7"/>
      <c r="AQ7"/>
      <c r="AR7"/>
      <c r="AS7"/>
      <c r="AT7"/>
      <c r="AU7"/>
      <c r="AV7"/>
      <c r="AW7"/>
      <c r="AX7"/>
    </row>
    <row r="8" spans="1:50" s="2" customFormat="1" x14ac:dyDescent="0.3">
      <c r="A8" t="s">
        <v>28</v>
      </c>
      <c r="B8" t="s">
        <v>64</v>
      </c>
      <c r="C8" t="s">
        <v>90</v>
      </c>
      <c r="D8" t="s">
        <v>67</v>
      </c>
      <c r="E8" s="6">
        <v>21.77924812030076</v>
      </c>
      <c r="F8">
        <v>0.56999999999999995</v>
      </c>
      <c r="G8">
        <v>1</v>
      </c>
      <c r="H8"/>
      <c r="I8"/>
      <c r="J8"/>
      <c r="K8">
        <f>L8*1000/(500/1.55)</f>
        <v>238.08000000000007</v>
      </c>
      <c r="L8">
        <f>3.2*24</f>
        <v>76.800000000000011</v>
      </c>
      <c r="M8"/>
      <c r="N8"/>
      <c r="O8"/>
      <c r="P8" s="6">
        <f t="shared" si="0"/>
        <v>15.245473684210532</v>
      </c>
      <c r="Q8" s="6">
        <v>1</v>
      </c>
      <c r="R8" s="6">
        <f t="shared" si="1"/>
        <v>21.77924812030076</v>
      </c>
      <c r="S8">
        <f>K8*100/(F8*1000000/365)</f>
        <v>15.245473684210532</v>
      </c>
      <c r="T8" t="s">
        <v>62</v>
      </c>
      <c r="U8" t="s">
        <v>93</v>
      </c>
      <c r="V8"/>
      <c r="W8"/>
      <c r="X8"/>
      <c r="Y8"/>
      <c r="Z8"/>
      <c r="AA8"/>
      <c r="AB8"/>
      <c r="AC8"/>
      <c r="AD8"/>
      <c r="AE8"/>
      <c r="AF8"/>
      <c r="AG8"/>
      <c r="AH8"/>
      <c r="AI8"/>
      <c r="AJ8"/>
      <c r="AK8"/>
      <c r="AL8"/>
      <c r="AM8"/>
      <c r="AN8"/>
      <c r="AO8"/>
      <c r="AP8"/>
      <c r="AQ8"/>
      <c r="AR8"/>
      <c r="AS8"/>
      <c r="AT8"/>
      <c r="AU8"/>
      <c r="AV8"/>
      <c r="AW8"/>
      <c r="AX8"/>
    </row>
    <row r="9" spans="1:50" s="2" customFormat="1" x14ac:dyDescent="0.3">
      <c r="A9" t="s">
        <v>28</v>
      </c>
      <c r="B9" t="s">
        <v>64</v>
      </c>
      <c r="C9" t="s">
        <v>90</v>
      </c>
      <c r="D9" t="s">
        <v>68</v>
      </c>
      <c r="E9" s="6">
        <v>9.5284210526315771</v>
      </c>
      <c r="F9">
        <v>0.56999999999999995</v>
      </c>
      <c r="G9">
        <v>1</v>
      </c>
      <c r="H9"/>
      <c r="I9"/>
      <c r="J9"/>
      <c r="K9">
        <f>L9*1000/(500/1.55)</f>
        <v>104.15999999999998</v>
      </c>
      <c r="L9">
        <f>1.4*24</f>
        <v>33.599999999999994</v>
      </c>
      <c r="M9"/>
      <c r="N9"/>
      <c r="O9"/>
      <c r="P9" s="6">
        <f t="shared" si="0"/>
        <v>6.669894736842104</v>
      </c>
      <c r="Q9" s="6">
        <v>1</v>
      </c>
      <c r="R9" s="6">
        <f t="shared" si="1"/>
        <v>9.5284210526315771</v>
      </c>
      <c r="S9">
        <f>K9*100/(F9*1000000/365)</f>
        <v>6.669894736842104</v>
      </c>
      <c r="T9" t="s">
        <v>62</v>
      </c>
      <c r="U9"/>
      <c r="V9"/>
      <c r="W9"/>
      <c r="X9"/>
      <c r="Y9"/>
      <c r="Z9"/>
      <c r="AA9"/>
      <c r="AB9"/>
      <c r="AC9"/>
      <c r="AD9"/>
      <c r="AE9"/>
      <c r="AF9"/>
      <c r="AG9"/>
      <c r="AH9"/>
      <c r="AI9"/>
      <c r="AJ9"/>
      <c r="AK9"/>
      <c r="AL9"/>
      <c r="AM9"/>
      <c r="AN9"/>
      <c r="AO9"/>
      <c r="AP9"/>
      <c r="AQ9"/>
      <c r="AR9"/>
      <c r="AS9"/>
      <c r="AT9"/>
      <c r="AU9"/>
      <c r="AV9"/>
      <c r="AW9"/>
      <c r="AX9"/>
    </row>
    <row r="10" spans="1:50" s="2" customFormat="1" x14ac:dyDescent="0.3">
      <c r="A10" t="s">
        <v>28</v>
      </c>
      <c r="B10" t="s">
        <v>65</v>
      </c>
      <c r="C10" t="s">
        <v>90</v>
      </c>
      <c r="D10" t="s">
        <v>69</v>
      </c>
      <c r="E10" s="6">
        <v>22.459849624060148</v>
      </c>
      <c r="F10">
        <v>0.56999999999999995</v>
      </c>
      <c r="G10">
        <v>1</v>
      </c>
      <c r="H10"/>
      <c r="I10"/>
      <c r="J10"/>
      <c r="K10">
        <f>L10*1000/(500/1.55)</f>
        <v>245.51999999999995</v>
      </c>
      <c r="L10">
        <f>3.3*24</f>
        <v>79.199999999999989</v>
      </c>
      <c r="M10"/>
      <c r="N10"/>
      <c r="O10"/>
      <c r="P10" s="6">
        <f t="shared" si="0"/>
        <v>15.721894736842103</v>
      </c>
      <c r="Q10" s="6">
        <v>1</v>
      </c>
      <c r="R10" s="6">
        <f t="shared" si="1"/>
        <v>22.459849624060148</v>
      </c>
      <c r="S10">
        <f>K10*100/(F10*1000000/365)</f>
        <v>15.721894736842103</v>
      </c>
      <c r="T10" t="s">
        <v>62</v>
      </c>
      <c r="U10"/>
      <c r="V10"/>
      <c r="W10"/>
      <c r="X10"/>
      <c r="Y10"/>
      <c r="Z10"/>
      <c r="AA10"/>
      <c r="AB10"/>
      <c r="AC10"/>
      <c r="AD10"/>
      <c r="AE10"/>
      <c r="AF10"/>
      <c r="AG10"/>
      <c r="AH10"/>
      <c r="AI10"/>
      <c r="AJ10"/>
      <c r="AK10"/>
      <c r="AL10"/>
      <c r="AM10"/>
      <c r="AN10"/>
      <c r="AO10"/>
      <c r="AP10"/>
      <c r="AQ10"/>
      <c r="AR10"/>
      <c r="AS10"/>
      <c r="AT10"/>
      <c r="AU10"/>
      <c r="AV10"/>
      <c r="AW10"/>
      <c r="AX10"/>
    </row>
    <row r="11" spans="1:50" s="2" customFormat="1" x14ac:dyDescent="0.3">
      <c r="A11" t="s">
        <v>28</v>
      </c>
      <c r="B11" t="s">
        <v>65</v>
      </c>
      <c r="C11" t="s">
        <v>90</v>
      </c>
      <c r="D11" t="s">
        <v>69</v>
      </c>
      <c r="E11" s="6">
        <v>8.8478195488721827</v>
      </c>
      <c r="F11">
        <v>0.56999999999999995</v>
      </c>
      <c r="G11">
        <v>1</v>
      </c>
      <c r="H11"/>
      <c r="I11"/>
      <c r="J11"/>
      <c r="K11">
        <f>L11*1000/(500/1.55)</f>
        <v>96.720000000000013</v>
      </c>
      <c r="L11">
        <f>1.3*24</f>
        <v>31.200000000000003</v>
      </c>
      <c r="M11"/>
      <c r="N11"/>
      <c r="O11"/>
      <c r="P11" s="6">
        <f t="shared" si="0"/>
        <v>6.1934736842105274</v>
      </c>
      <c r="Q11" s="6">
        <v>1</v>
      </c>
      <c r="R11" s="6">
        <f t="shared" si="1"/>
        <v>8.8478195488721827</v>
      </c>
      <c r="S11">
        <f>K11*100/(F11*1000000/365)</f>
        <v>6.1934736842105274</v>
      </c>
      <c r="T11" t="s">
        <v>62</v>
      </c>
      <c r="U11"/>
      <c r="V11"/>
      <c r="W11"/>
      <c r="X11"/>
      <c r="Y11"/>
      <c r="Z11"/>
      <c r="AA11"/>
      <c r="AB11"/>
      <c r="AC11"/>
      <c r="AD11"/>
      <c r="AE11"/>
      <c r="AF11"/>
      <c r="AG11"/>
      <c r="AH11"/>
      <c r="AI11"/>
      <c r="AJ11"/>
      <c r="AK11"/>
      <c r="AL11"/>
      <c r="AM11"/>
      <c r="AN11"/>
      <c r="AO11"/>
      <c r="AP11"/>
      <c r="AQ11"/>
      <c r="AR11"/>
      <c r="AS11"/>
      <c r="AT11"/>
      <c r="AU11"/>
      <c r="AV11"/>
      <c r="AW11"/>
      <c r="AX11"/>
    </row>
    <row r="12" spans="1:50" x14ac:dyDescent="0.3">
      <c r="A12" t="s">
        <v>309</v>
      </c>
      <c r="B12" t="s">
        <v>315</v>
      </c>
      <c r="C12" t="s">
        <v>314</v>
      </c>
      <c r="E12" s="6">
        <v>46.519607843137258</v>
      </c>
      <c r="H12">
        <f>I12*0.7</f>
        <v>0.504</v>
      </c>
      <c r="I12">
        <v>0.72</v>
      </c>
      <c r="K12">
        <v>0.78</v>
      </c>
      <c r="M12">
        <f>(K12*365/1000)*14/17</f>
        <v>0.23445882352941178</v>
      </c>
      <c r="P12" s="6">
        <f>M12*100/I12</f>
        <v>32.563725490196077</v>
      </c>
      <c r="Q12" s="6">
        <v>1</v>
      </c>
      <c r="R12" s="6">
        <f>P12/0.7</f>
        <v>46.519607843137258</v>
      </c>
      <c r="T12" t="s">
        <v>100</v>
      </c>
    </row>
    <row r="13" spans="1:50" x14ac:dyDescent="0.3">
      <c r="A13" t="s">
        <v>309</v>
      </c>
      <c r="B13" t="s">
        <v>316</v>
      </c>
      <c r="C13" t="s">
        <v>314</v>
      </c>
      <c r="E13" s="6">
        <v>4.473039215686275</v>
      </c>
      <c r="H13">
        <f>I13*0.7</f>
        <v>0.504</v>
      </c>
      <c r="I13">
        <v>0.72</v>
      </c>
      <c r="K13">
        <v>7.4999999999999997E-2</v>
      </c>
      <c r="M13">
        <f>(K13*365/1000)*14/17</f>
        <v>2.2544117647058822E-2</v>
      </c>
      <c r="P13" s="6">
        <f>M13*100/I13</f>
        <v>3.1311274509803924</v>
      </c>
      <c r="Q13" s="6">
        <v>1</v>
      </c>
      <c r="R13" s="6">
        <f>P13/0.7</f>
        <v>4.473039215686275</v>
      </c>
      <c r="T13" t="s">
        <v>100</v>
      </c>
    </row>
    <row r="14" spans="1:50" x14ac:dyDescent="0.3">
      <c r="A14" t="s">
        <v>28</v>
      </c>
      <c r="B14" t="s">
        <v>40</v>
      </c>
      <c r="C14" t="s">
        <v>223</v>
      </c>
      <c r="D14" t="s">
        <v>224</v>
      </c>
      <c r="E14" s="6">
        <v>5.8317669172932343</v>
      </c>
      <c r="F14">
        <v>0.76</v>
      </c>
      <c r="G14">
        <v>1</v>
      </c>
      <c r="K14">
        <f>0.1*1000</f>
        <v>100</v>
      </c>
      <c r="P14" s="6">
        <f>S14*1/G14</f>
        <v>5.8317669172932343</v>
      </c>
      <c r="Q14" s="6">
        <v>1</v>
      </c>
      <c r="R14" s="6">
        <f>P14/0.7</f>
        <v>8.3310955961331921</v>
      </c>
      <c r="S14">
        <f>K14*100/(F14*1000000/365*14/17)</f>
        <v>5.8317669172932343</v>
      </c>
      <c r="T14" t="s">
        <v>372</v>
      </c>
    </row>
    <row r="15" spans="1:50" x14ac:dyDescent="0.3">
      <c r="A15" t="s">
        <v>309</v>
      </c>
      <c r="B15" t="s">
        <v>313</v>
      </c>
      <c r="C15" t="s">
        <v>314</v>
      </c>
      <c r="E15" s="6"/>
      <c r="H15">
        <f>I15*0.7</f>
        <v>0.504</v>
      </c>
      <c r="I15">
        <v>0.72</v>
      </c>
      <c r="K15">
        <v>2.1</v>
      </c>
      <c r="M15">
        <f>(K15*365/1000)*14/17</f>
        <v>0.63123529411764701</v>
      </c>
      <c r="P15" s="6">
        <f>M15*100/I15</f>
        <v>87.671568627450981</v>
      </c>
      <c r="Q15" s="6"/>
      <c r="R15" s="6"/>
      <c r="T15" t="s">
        <v>100</v>
      </c>
    </row>
    <row r="16" spans="1:50" s="2" customFormat="1" x14ac:dyDescent="0.3">
      <c r="A16" t="s">
        <v>28</v>
      </c>
      <c r="B16" t="s">
        <v>141</v>
      </c>
      <c r="C16" t="s">
        <v>223</v>
      </c>
      <c r="D16" t="s">
        <v>67</v>
      </c>
      <c r="E16" s="6">
        <v>37.244897959183668</v>
      </c>
      <c r="F16">
        <v>0.85</v>
      </c>
      <c r="G16">
        <v>1</v>
      </c>
      <c r="H16"/>
      <c r="I16"/>
      <c r="J16"/>
      <c r="K16">
        <f>0.5*1000</f>
        <v>500</v>
      </c>
      <c r="L16"/>
      <c r="M16"/>
      <c r="N16"/>
      <c r="O16"/>
      <c r="P16" s="6">
        <f>S16*1/G16</f>
        <v>26.071428571428566</v>
      </c>
      <c r="Q16" s="6">
        <v>1</v>
      </c>
      <c r="R16" s="6">
        <f>P16/0.7</f>
        <v>37.244897959183668</v>
      </c>
      <c r="S16">
        <f>K16*100/(F16*1000000/365*14/17)</f>
        <v>26.071428571428566</v>
      </c>
      <c r="T16" t="s">
        <v>372</v>
      </c>
      <c r="U16"/>
      <c r="V16"/>
      <c r="W16"/>
      <c r="X16"/>
      <c r="Y16"/>
      <c r="Z16"/>
      <c r="AA16"/>
      <c r="AB16"/>
      <c r="AC16"/>
      <c r="AD16"/>
      <c r="AE16"/>
      <c r="AF16"/>
      <c r="AG16"/>
      <c r="AH16"/>
      <c r="AI16"/>
      <c r="AJ16"/>
      <c r="AK16"/>
      <c r="AL16"/>
      <c r="AM16"/>
      <c r="AN16"/>
      <c r="AO16"/>
      <c r="AP16"/>
      <c r="AQ16"/>
      <c r="AR16"/>
      <c r="AS16"/>
      <c r="AT16"/>
      <c r="AU16"/>
      <c r="AV16"/>
      <c r="AW16"/>
      <c r="AX16"/>
    </row>
    <row r="17" spans="1:51" x14ac:dyDescent="0.3">
      <c r="A17" t="s">
        <v>309</v>
      </c>
      <c r="B17" t="s">
        <v>310</v>
      </c>
      <c r="C17" t="s">
        <v>311</v>
      </c>
      <c r="E17" s="6">
        <v>18.344135991194815</v>
      </c>
      <c r="H17">
        <f>I17*0.7</f>
        <v>0.67339999999999989</v>
      </c>
      <c r="I17">
        <v>0.96199999999999997</v>
      </c>
      <c r="M17">
        <f>(150/1000)*14/17</f>
        <v>0.12352941176470589</v>
      </c>
      <c r="P17" s="6">
        <f>M17*100/I17</f>
        <v>12.840895193836371</v>
      </c>
      <c r="Q17" s="6">
        <v>3</v>
      </c>
      <c r="R17" s="6">
        <f>P17/0.7</f>
        <v>18.344135991194815</v>
      </c>
      <c r="T17" t="s">
        <v>312</v>
      </c>
    </row>
    <row r="18" spans="1:51" ht="15" thickBot="1" x14ac:dyDescent="0.35">
      <c r="A18" t="s">
        <v>309</v>
      </c>
      <c r="B18" t="s">
        <v>319</v>
      </c>
      <c r="C18" t="s">
        <v>317</v>
      </c>
      <c r="E18" s="6">
        <v>26.360751769587512</v>
      </c>
      <c r="H18">
        <f t="shared" ref="H18" si="2">I18*0.7</f>
        <v>0.50609999999999999</v>
      </c>
      <c r="I18">
        <v>0.72299999999999998</v>
      </c>
      <c r="K18">
        <v>162</v>
      </c>
      <c r="M18">
        <f>(K18/1000)*14/17</f>
        <v>0.13341176470588237</v>
      </c>
      <c r="P18" s="6">
        <f>M18*100/I18</f>
        <v>18.452526238711258</v>
      </c>
      <c r="Q18" s="6">
        <v>1</v>
      </c>
      <c r="R18" s="6">
        <f t="shared" si="1"/>
        <v>26.360751769587512</v>
      </c>
      <c r="T18" t="s">
        <v>318</v>
      </c>
    </row>
    <row r="19" spans="1:51" s="2" customFormat="1" x14ac:dyDescent="0.3">
      <c r="A19" s="36" t="s">
        <v>101</v>
      </c>
      <c r="B19" s="37" t="s">
        <v>353</v>
      </c>
      <c r="C19" s="37"/>
      <c r="D19" s="40"/>
      <c r="E19" s="40">
        <v>20.061692055747788</v>
      </c>
      <c r="F19" s="6"/>
      <c r="G19"/>
      <c r="H19"/>
      <c r="I19"/>
      <c r="J19"/>
      <c r="K19"/>
      <c r="L19"/>
      <c r="M19"/>
      <c r="N19"/>
      <c r="O19"/>
      <c r="P19" s="6">
        <f>MEDIAN(P6:P18)</f>
        <v>15.245473684210532</v>
      </c>
      <c r="Q19" s="6"/>
      <c r="R19" s="6">
        <f>MEDIAN(R6:R18)</f>
        <v>20.061692055747788</v>
      </c>
      <c r="S19"/>
      <c r="T19"/>
      <c r="U19"/>
      <c r="V19"/>
      <c r="W19"/>
      <c r="X19"/>
      <c r="Y19"/>
      <c r="Z19"/>
      <c r="AA19"/>
      <c r="AB19"/>
      <c r="AC19"/>
      <c r="AD19"/>
      <c r="AE19"/>
      <c r="AF19"/>
      <c r="AG19"/>
      <c r="AH19"/>
      <c r="AI19"/>
      <c r="AJ19"/>
      <c r="AK19"/>
      <c r="AL19"/>
      <c r="AM19"/>
      <c r="AN19"/>
      <c r="AO19"/>
      <c r="AP19"/>
      <c r="AQ19"/>
      <c r="AR19"/>
      <c r="AS19"/>
      <c r="AT19"/>
      <c r="AU19"/>
      <c r="AV19"/>
      <c r="AW19"/>
      <c r="AX19"/>
    </row>
    <row r="20" spans="1:51" s="2" customFormat="1" x14ac:dyDescent="0.3">
      <c r="A20" s="46"/>
      <c r="B20" s="43" t="s">
        <v>211</v>
      </c>
      <c r="C20" s="43"/>
      <c r="D20" s="52"/>
      <c r="E20" s="52">
        <v>19.7</v>
      </c>
      <c r="F20" s="6"/>
      <c r="G20"/>
      <c r="H20"/>
      <c r="I20"/>
      <c r="J20"/>
      <c r="K20"/>
      <c r="L20"/>
      <c r="M20"/>
      <c r="N20"/>
      <c r="O20"/>
      <c r="P20" s="6">
        <f>AVERAGE(P6:P18)</f>
        <v>19.496444256307857</v>
      </c>
      <c r="Q20" s="6"/>
      <c r="R20" s="6">
        <f>AVERAGE(R6:R18)</f>
        <v>19.735976988637045</v>
      </c>
      <c r="S20"/>
      <c r="T20"/>
      <c r="U20"/>
      <c r="V20"/>
      <c r="W20"/>
      <c r="X20"/>
      <c r="Y20"/>
      <c r="Z20"/>
      <c r="AA20"/>
      <c r="AB20"/>
      <c r="AC20"/>
      <c r="AD20"/>
      <c r="AE20"/>
      <c r="AF20"/>
      <c r="AG20"/>
      <c r="AH20"/>
      <c r="AI20"/>
      <c r="AJ20"/>
      <c r="AK20"/>
      <c r="AL20"/>
      <c r="AM20"/>
      <c r="AN20"/>
      <c r="AO20"/>
      <c r="AP20"/>
      <c r="AQ20"/>
      <c r="AR20"/>
      <c r="AS20"/>
      <c r="AT20"/>
      <c r="AU20"/>
      <c r="AV20"/>
      <c r="AW20"/>
      <c r="AX20"/>
    </row>
    <row r="21" spans="1:51" s="2" customFormat="1" ht="15" thickBot="1" x14ac:dyDescent="0.35">
      <c r="A21" s="38"/>
      <c r="B21" s="39" t="s">
        <v>210</v>
      </c>
      <c r="C21" s="39"/>
      <c r="D21" s="41"/>
      <c r="E21" s="41">
        <v>12.7</v>
      </c>
      <c r="F21" s="6"/>
      <c r="G21"/>
      <c r="H21"/>
      <c r="I21"/>
      <c r="J21"/>
      <c r="K21"/>
      <c r="L21"/>
      <c r="M21"/>
      <c r="N21"/>
      <c r="O21"/>
      <c r="P21" s="6">
        <f>STDEV(P6:P18)</f>
        <v>22.180213745126231</v>
      </c>
      <c r="Q21" s="6"/>
      <c r="R21" s="6">
        <f>STDEV(R6:R18)</f>
        <v>12.69284904087765</v>
      </c>
      <c r="S21"/>
      <c r="T21"/>
      <c r="U21"/>
      <c r="V21"/>
      <c r="W21"/>
      <c r="X21"/>
      <c r="Y21"/>
      <c r="Z21"/>
      <c r="AA21"/>
      <c r="AB21"/>
      <c r="AC21"/>
      <c r="AD21"/>
      <c r="AE21"/>
      <c r="AF21"/>
      <c r="AG21"/>
      <c r="AH21"/>
      <c r="AI21"/>
      <c r="AJ21"/>
      <c r="AK21"/>
      <c r="AL21"/>
      <c r="AM21"/>
      <c r="AN21"/>
      <c r="AO21"/>
      <c r="AP21"/>
      <c r="AQ21"/>
      <c r="AR21"/>
      <c r="AS21"/>
      <c r="AT21"/>
      <c r="AU21"/>
      <c r="AV21"/>
      <c r="AW21"/>
      <c r="AX21"/>
    </row>
    <row r="22" spans="1:51" s="53" customFormat="1" ht="15" thickBot="1" x14ac:dyDescent="0.35">
      <c r="A22" s="38" t="s">
        <v>309</v>
      </c>
      <c r="B22" s="39" t="s">
        <v>366</v>
      </c>
      <c r="C22" s="39"/>
      <c r="D22" s="41"/>
      <c r="E22" s="41">
        <v>20.100000000000001</v>
      </c>
      <c r="F22" s="6"/>
      <c r="G22"/>
      <c r="H22"/>
      <c r="I22"/>
      <c r="J22"/>
      <c r="K22"/>
      <c r="L22"/>
      <c r="M22"/>
      <c r="N22"/>
      <c r="O22"/>
      <c r="P22" s="6"/>
      <c r="Q22" s="6">
        <f>SUM(Q6:Q18)</f>
        <v>17</v>
      </c>
      <c r="R22" s="6">
        <f>((R6*Q6)+(R7*Q7)+(R8*Q8)+(R9*Q9)+(R10*Q10)+(R11*Q11)+(R12*Q12)+(R13*Q13)+(R14*Q14)+(R16*Q16)+(R17*Q17)+(R18*Q18))/Q22</f>
        <v>20.138151016153273</v>
      </c>
      <c r="S22"/>
      <c r="T22" t="s">
        <v>366</v>
      </c>
      <c r="U22"/>
      <c r="V22"/>
      <c r="W22"/>
      <c r="X22"/>
      <c r="Y22"/>
      <c r="Z22"/>
      <c r="AA22"/>
      <c r="AB22"/>
      <c r="AC22"/>
      <c r="AD22"/>
      <c r="AE22"/>
      <c r="AF22"/>
      <c r="AG22"/>
      <c r="AH22"/>
      <c r="AI22"/>
      <c r="AJ22"/>
      <c r="AK22"/>
      <c r="AL22"/>
      <c r="AM22"/>
      <c r="AN22"/>
      <c r="AO22"/>
      <c r="AP22"/>
      <c r="AQ22"/>
      <c r="AR22"/>
      <c r="AS22"/>
      <c r="AT22"/>
      <c r="AU22"/>
      <c r="AV22"/>
      <c r="AW22"/>
      <c r="AX22"/>
      <c r="AY22"/>
    </row>
    <row r="23" spans="1:51" x14ac:dyDescent="0.3">
      <c r="E23" s="6"/>
      <c r="P23" s="6"/>
      <c r="Q23" s="6"/>
      <c r="R23" s="6"/>
    </row>
    <row r="24" spans="1:51" s="2" customFormat="1" x14ac:dyDescent="0.3">
      <c r="A24" t="s">
        <v>28</v>
      </c>
      <c r="B24" t="s">
        <v>66</v>
      </c>
      <c r="C24" t="s">
        <v>90</v>
      </c>
      <c r="D24"/>
      <c r="E24" s="6">
        <v>55.80932330827067</v>
      </c>
      <c r="F24">
        <v>0.56999999999999995</v>
      </c>
      <c r="G24">
        <v>1</v>
      </c>
      <c r="H24"/>
      <c r="I24"/>
      <c r="J24"/>
      <c r="K24">
        <f>L24*1000/(500/1.55)</f>
        <v>610.07999999999993</v>
      </c>
      <c r="L24">
        <f>8.2*24</f>
        <v>196.79999999999998</v>
      </c>
      <c r="M24"/>
      <c r="N24"/>
      <c r="O24"/>
      <c r="P24" s="6">
        <f>S24*1/G24</f>
        <v>39.066526315789467</v>
      </c>
      <c r="Q24" s="6">
        <v>1</v>
      </c>
      <c r="R24" s="6">
        <f>P24/0.7</f>
        <v>55.80932330827067</v>
      </c>
      <c r="S24">
        <f>K24*100/(F24*1000000/365)</f>
        <v>39.066526315789467</v>
      </c>
      <c r="T24" t="s">
        <v>62</v>
      </c>
      <c r="U24"/>
      <c r="V24"/>
      <c r="W24"/>
      <c r="X24"/>
      <c r="Y24"/>
      <c r="Z24"/>
      <c r="AA24"/>
      <c r="AB24"/>
      <c r="AC24"/>
      <c r="AD24"/>
      <c r="AE24"/>
      <c r="AF24"/>
      <c r="AG24"/>
      <c r="AH24"/>
      <c r="AI24"/>
      <c r="AJ24"/>
      <c r="AK24"/>
      <c r="AL24"/>
      <c r="AM24"/>
      <c r="AN24"/>
      <c r="AO24"/>
      <c r="AP24"/>
      <c r="AQ24"/>
      <c r="AR24"/>
      <c r="AS24"/>
      <c r="AT24"/>
      <c r="AU24"/>
      <c r="AV24"/>
      <c r="AW24"/>
      <c r="AX24"/>
    </row>
    <row r="25" spans="1:51" x14ac:dyDescent="0.3">
      <c r="A25" t="s">
        <v>309</v>
      </c>
      <c r="B25" t="s">
        <v>66</v>
      </c>
      <c r="C25" t="s">
        <v>317</v>
      </c>
      <c r="E25" s="6">
        <v>26.360751769587512</v>
      </c>
      <c r="H25">
        <f>I25*0.7</f>
        <v>0.50609999999999999</v>
      </c>
      <c r="I25">
        <v>0.72299999999999998</v>
      </c>
      <c r="K25">
        <v>162</v>
      </c>
      <c r="M25">
        <f>(K25/1000)*14/17</f>
        <v>0.13341176470588237</v>
      </c>
      <c r="P25" s="6">
        <f>M25*100/I25</f>
        <v>18.452526238711258</v>
      </c>
      <c r="Q25" s="6">
        <v>1</v>
      </c>
      <c r="R25" s="6">
        <f>P25/0.7</f>
        <v>26.360751769587512</v>
      </c>
      <c r="T25" t="s">
        <v>318</v>
      </c>
    </row>
    <row r="26" spans="1:51" s="2" customFormat="1" ht="15" thickBot="1" x14ac:dyDescent="0.35">
      <c r="A26" t="s">
        <v>28</v>
      </c>
      <c r="B26" t="s">
        <v>94</v>
      </c>
      <c r="C26" t="s">
        <v>172</v>
      </c>
      <c r="D26"/>
      <c r="E26" s="6">
        <v>73</v>
      </c>
      <c r="F26">
        <v>0.6</v>
      </c>
      <c r="G26">
        <v>1</v>
      </c>
      <c r="H26"/>
      <c r="I26"/>
      <c r="J26"/>
      <c r="K26">
        <f>35*24</f>
        <v>840</v>
      </c>
      <c r="L26">
        <f>9246.33333333333*24/1000</f>
        <v>221.91199999999995</v>
      </c>
      <c r="M26"/>
      <c r="N26"/>
      <c r="O26"/>
      <c r="P26" s="6">
        <f>S26*1/G26</f>
        <v>51.1</v>
      </c>
      <c r="Q26" s="6">
        <v>4</v>
      </c>
      <c r="R26" s="6">
        <f>P26/0.7</f>
        <v>73</v>
      </c>
      <c r="S26">
        <f>K26*100/(F26*1000000/365)</f>
        <v>51.1</v>
      </c>
      <c r="T26" t="s">
        <v>217</v>
      </c>
      <c r="U26"/>
      <c r="V26"/>
      <c r="W26"/>
      <c r="X26"/>
      <c r="Y26"/>
      <c r="Z26"/>
      <c r="AA26"/>
      <c r="AB26"/>
      <c r="AC26"/>
      <c r="AD26"/>
      <c r="AE26"/>
      <c r="AF26"/>
      <c r="AG26"/>
      <c r="AH26"/>
      <c r="AI26"/>
      <c r="AJ26"/>
      <c r="AK26"/>
      <c r="AL26"/>
      <c r="AM26"/>
      <c r="AN26"/>
      <c r="AO26"/>
      <c r="AP26"/>
      <c r="AQ26"/>
      <c r="AR26"/>
      <c r="AS26"/>
      <c r="AT26"/>
      <c r="AU26"/>
      <c r="AV26"/>
      <c r="AW26"/>
      <c r="AX26"/>
    </row>
    <row r="27" spans="1:51" s="2" customFormat="1" x14ac:dyDescent="0.3">
      <c r="A27" s="36" t="s">
        <v>28</v>
      </c>
      <c r="B27" s="37" t="s">
        <v>353</v>
      </c>
      <c r="C27" s="37"/>
      <c r="D27" s="40"/>
      <c r="E27" s="40">
        <v>55.80932330827067</v>
      </c>
      <c r="F27"/>
      <c r="G27"/>
      <c r="H27"/>
      <c r="I27"/>
      <c r="J27"/>
      <c r="K27"/>
      <c r="L27"/>
      <c r="M27"/>
      <c r="N27"/>
      <c r="O27"/>
      <c r="P27" s="6">
        <f>MEDIAN(P24:P26)</f>
        <v>39.066526315789467</v>
      </c>
      <c r="Q27" s="6"/>
      <c r="R27" s="6">
        <f>MEDIAN(R24:R26)</f>
        <v>55.80932330827067</v>
      </c>
      <c r="S27"/>
      <c r="T27"/>
      <c r="U27"/>
      <c r="V27"/>
      <c r="W27"/>
      <c r="X27"/>
      <c r="Y27"/>
      <c r="Z27"/>
      <c r="AA27"/>
      <c r="AB27"/>
      <c r="AC27"/>
      <c r="AD27"/>
      <c r="AE27"/>
      <c r="AF27"/>
      <c r="AG27"/>
      <c r="AH27"/>
      <c r="AI27"/>
      <c r="AJ27"/>
      <c r="AK27"/>
      <c r="AL27"/>
      <c r="AM27"/>
      <c r="AN27"/>
      <c r="AO27"/>
      <c r="AP27"/>
      <c r="AQ27"/>
      <c r="AR27"/>
      <c r="AS27"/>
      <c r="AT27"/>
      <c r="AU27"/>
      <c r="AV27"/>
      <c r="AW27"/>
      <c r="AX27"/>
    </row>
    <row r="28" spans="1:51" s="2" customFormat="1" x14ac:dyDescent="0.3">
      <c r="A28" s="46" t="s">
        <v>28</v>
      </c>
      <c r="B28" s="43" t="s">
        <v>211</v>
      </c>
      <c r="C28" s="43"/>
      <c r="D28" s="52"/>
      <c r="E28" s="52">
        <v>51.723358359286067</v>
      </c>
      <c r="F28"/>
      <c r="G28"/>
      <c r="H28"/>
      <c r="I28"/>
      <c r="J28"/>
      <c r="K28"/>
      <c r="L28"/>
      <c r="M28"/>
      <c r="N28"/>
      <c r="O28"/>
      <c r="P28" s="6">
        <f>AVERAGE(P24:P26)</f>
        <v>36.20635085150024</v>
      </c>
      <c r="Q28" s="6"/>
      <c r="R28" s="6">
        <f>AVERAGE(R24:R26)</f>
        <v>51.723358359286067</v>
      </c>
      <c r="S28"/>
      <c r="T28"/>
      <c r="U28"/>
      <c r="V28"/>
      <c r="W28"/>
      <c r="X28"/>
      <c r="Y28"/>
      <c r="Z28"/>
      <c r="AA28"/>
      <c r="AB28"/>
      <c r="AC28"/>
      <c r="AD28"/>
      <c r="AE28"/>
      <c r="AF28"/>
      <c r="AG28"/>
      <c r="AH28"/>
      <c r="AI28"/>
      <c r="AJ28"/>
      <c r="AK28"/>
      <c r="AL28"/>
      <c r="AM28"/>
      <c r="AN28"/>
      <c r="AO28"/>
      <c r="AP28"/>
      <c r="AQ28"/>
      <c r="AR28"/>
      <c r="AS28"/>
      <c r="AT28"/>
      <c r="AU28"/>
      <c r="AV28"/>
      <c r="AW28"/>
      <c r="AX28"/>
    </row>
    <row r="29" spans="1:51" ht="15" thickBot="1" x14ac:dyDescent="0.35">
      <c r="A29" s="38" t="s">
        <v>28</v>
      </c>
      <c r="B29" s="39" t="s">
        <v>210</v>
      </c>
      <c r="C29" s="39"/>
      <c r="D29" s="41"/>
      <c r="E29" s="41">
        <v>23.58656823380112</v>
      </c>
      <c r="P29" s="6">
        <f>STDEV(P24:P26)</f>
        <v>16.510597763660797</v>
      </c>
      <c r="Q29" s="6"/>
      <c r="R29" s="6">
        <f>STDEV(R24:R26)</f>
        <v>23.58656823380112</v>
      </c>
    </row>
    <row r="30" spans="1:51" ht="15" thickBot="1" x14ac:dyDescent="0.35">
      <c r="A30" s="38" t="s">
        <v>309</v>
      </c>
      <c r="B30" s="39" t="s">
        <v>366</v>
      </c>
      <c r="C30" s="39"/>
      <c r="D30" s="41"/>
      <c r="E30" s="41">
        <v>93.54251876946455</v>
      </c>
      <c r="P30" s="6"/>
      <c r="Q30" s="6">
        <f>SUM(Q24:Q26)</f>
        <v>6</v>
      </c>
      <c r="R30" s="6">
        <f>((R24*Q24)+(R25*Q25)+(R26*Q26))/Q30</f>
        <v>62.361679179643033</v>
      </c>
      <c r="T30" t="s">
        <v>366</v>
      </c>
    </row>
    <row r="31" spans="1:51" x14ac:dyDescent="0.3">
      <c r="E31" s="6"/>
      <c r="P31" s="6"/>
      <c r="Q31" s="6"/>
      <c r="R31" s="6"/>
    </row>
    <row r="32" spans="1:51" x14ac:dyDescent="0.3">
      <c r="A32" t="s">
        <v>60</v>
      </c>
      <c r="B32" t="s">
        <v>4</v>
      </c>
      <c r="C32" t="s">
        <v>90</v>
      </c>
      <c r="E32" s="6">
        <v>13.612030075187974</v>
      </c>
      <c r="F32">
        <v>0.56999999999999995</v>
      </c>
      <c r="G32">
        <v>1</v>
      </c>
      <c r="K32">
        <f t="shared" ref="K32:K33" si="3">L32*1000/(500/1.55)</f>
        <v>148.80000000000001</v>
      </c>
      <c r="L32">
        <f>2*24</f>
        <v>48</v>
      </c>
      <c r="P32" s="6">
        <f>S32*1/G32</f>
        <v>9.5284210526315807</v>
      </c>
      <c r="Q32" s="6">
        <v>1</v>
      </c>
      <c r="R32" s="6">
        <f t="shared" ref="R32:R42" si="4">P32/0.7</f>
        <v>13.612030075187974</v>
      </c>
      <c r="S32">
        <f t="shared" ref="S32:S35" si="5">K32*100/(F32*1000000/365)</f>
        <v>9.5284210526315807</v>
      </c>
      <c r="T32" t="s">
        <v>62</v>
      </c>
      <c r="U32" t="s">
        <v>61</v>
      </c>
    </row>
    <row r="33" spans="1:50" x14ac:dyDescent="0.3">
      <c r="A33" t="s">
        <v>60</v>
      </c>
      <c r="B33" t="s">
        <v>63</v>
      </c>
      <c r="C33" t="s">
        <v>90</v>
      </c>
      <c r="E33" s="6">
        <v>6.806015037593987</v>
      </c>
      <c r="F33">
        <v>0.56999999999999995</v>
      </c>
      <c r="G33">
        <v>1</v>
      </c>
      <c r="K33">
        <f t="shared" si="3"/>
        <v>74.400000000000006</v>
      </c>
      <c r="L33">
        <f>1*24</f>
        <v>24</v>
      </c>
      <c r="P33" s="6">
        <f>S33*1/G33</f>
        <v>4.7642105263157903</v>
      </c>
      <c r="Q33" s="6">
        <v>1</v>
      </c>
      <c r="R33" s="6">
        <f t="shared" si="4"/>
        <v>6.806015037593987</v>
      </c>
      <c r="S33">
        <f t="shared" si="5"/>
        <v>4.7642105263157903</v>
      </c>
      <c r="T33" t="s">
        <v>62</v>
      </c>
    </row>
    <row r="34" spans="1:50" x14ac:dyDescent="0.3">
      <c r="A34" t="s">
        <v>60</v>
      </c>
      <c r="B34" t="s">
        <v>77</v>
      </c>
      <c r="C34" t="s">
        <v>105</v>
      </c>
      <c r="D34" t="s">
        <v>68</v>
      </c>
      <c r="E34" s="6">
        <v>8.4732142857142865</v>
      </c>
      <c r="F34">
        <v>0.8</v>
      </c>
      <c r="G34">
        <v>1</v>
      </c>
      <c r="K34">
        <f>0.13*1000</f>
        <v>130</v>
      </c>
      <c r="L34">
        <v>22</v>
      </c>
      <c r="P34" s="6">
        <f>S34*1/G34</f>
        <v>5.9312500000000004</v>
      </c>
      <c r="Q34" s="6">
        <v>3</v>
      </c>
      <c r="R34" s="6">
        <f t="shared" si="4"/>
        <v>8.4732142857142865</v>
      </c>
      <c r="S34">
        <f t="shared" si="5"/>
        <v>5.9312500000000004</v>
      </c>
      <c r="T34" t="s">
        <v>76</v>
      </c>
    </row>
    <row r="35" spans="1:50" x14ac:dyDescent="0.3">
      <c r="A35" t="s">
        <v>183</v>
      </c>
      <c r="B35" t="s">
        <v>3</v>
      </c>
      <c r="C35" t="s">
        <v>172</v>
      </c>
      <c r="D35" t="s">
        <v>184</v>
      </c>
      <c r="E35" s="6">
        <v>30.451428571428576</v>
      </c>
      <c r="F35">
        <v>0.6</v>
      </c>
      <c r="G35">
        <v>1</v>
      </c>
      <c r="K35">
        <f>14.6*24</f>
        <v>350.4</v>
      </c>
      <c r="L35">
        <f>4924.50574712644*24/1000</f>
        <v>118.18813793103455</v>
      </c>
      <c r="P35" s="6">
        <f>S35*1/G35</f>
        <v>21.316000000000003</v>
      </c>
      <c r="Q35" s="6">
        <v>4</v>
      </c>
      <c r="R35" s="6">
        <f t="shared" si="4"/>
        <v>30.451428571428576</v>
      </c>
      <c r="S35">
        <f t="shared" si="5"/>
        <v>21.316000000000003</v>
      </c>
      <c r="T35" t="s">
        <v>217</v>
      </c>
    </row>
    <row r="36" spans="1:50" x14ac:dyDescent="0.3">
      <c r="A36" t="s">
        <v>183</v>
      </c>
      <c r="C36" t="s">
        <v>102</v>
      </c>
      <c r="D36" t="s">
        <v>68</v>
      </c>
      <c r="E36" s="6">
        <v>33.965775401069521</v>
      </c>
      <c r="H36">
        <f t="shared" ref="H36:H42" si="6">I36*0.7</f>
        <v>0.308</v>
      </c>
      <c r="I36">
        <v>0.44</v>
      </c>
      <c r="M36">
        <f>(N36*268*24/1000000)*14/17</f>
        <v>0.10461458823529413</v>
      </c>
      <c r="N36">
        <v>19.75</v>
      </c>
      <c r="P36" s="6">
        <f>M36*100/I36</f>
        <v>23.776042780748664</v>
      </c>
      <c r="Q36" s="6">
        <v>1</v>
      </c>
      <c r="R36" s="6">
        <f t="shared" si="4"/>
        <v>33.965775401069521</v>
      </c>
      <c r="T36" t="s">
        <v>320</v>
      </c>
    </row>
    <row r="37" spans="1:50" x14ac:dyDescent="0.3">
      <c r="A37" t="s">
        <v>183</v>
      </c>
      <c r="C37" t="s">
        <v>102</v>
      </c>
      <c r="D37" t="s">
        <v>285</v>
      </c>
      <c r="E37" s="6">
        <v>31.110930481283422</v>
      </c>
      <c r="H37">
        <f t="shared" si="6"/>
        <v>0.308</v>
      </c>
      <c r="I37">
        <v>0.44</v>
      </c>
      <c r="M37">
        <f>(N37*268*24/1000000)*14/17</f>
        <v>9.5821665882352941E-2</v>
      </c>
      <c r="N37">
        <v>18.09</v>
      </c>
      <c r="P37" s="6">
        <f>M37*100/I37</f>
        <v>21.777651336898394</v>
      </c>
      <c r="Q37" s="6">
        <v>1</v>
      </c>
      <c r="R37" s="6">
        <f t="shared" si="4"/>
        <v>31.110930481283422</v>
      </c>
      <c r="T37" t="s">
        <v>320</v>
      </c>
    </row>
    <row r="38" spans="1:50" x14ac:dyDescent="0.3">
      <c r="A38" t="s">
        <v>183</v>
      </c>
      <c r="C38" t="s">
        <v>322</v>
      </c>
      <c r="D38" t="s">
        <v>321</v>
      </c>
      <c r="E38" s="6">
        <v>21.428571428571431</v>
      </c>
      <c r="H38">
        <f t="shared" si="6"/>
        <v>0.308</v>
      </c>
      <c r="I38">
        <v>0.44</v>
      </c>
      <c r="M38">
        <v>0.05</v>
      </c>
      <c r="P38" s="6">
        <v>15</v>
      </c>
      <c r="Q38" s="6">
        <v>1</v>
      </c>
      <c r="R38" s="6">
        <f t="shared" si="4"/>
        <v>21.428571428571431</v>
      </c>
      <c r="T38" s="80" t="s">
        <v>323</v>
      </c>
    </row>
    <row r="39" spans="1:50" x14ac:dyDescent="0.3">
      <c r="A39" t="s">
        <v>183</v>
      </c>
      <c r="C39" t="s">
        <v>253</v>
      </c>
      <c r="D39" t="s">
        <v>68</v>
      </c>
      <c r="E39" s="6">
        <v>10.135746606334843</v>
      </c>
      <c r="H39">
        <f t="shared" si="6"/>
        <v>0.36399999999999999</v>
      </c>
      <c r="I39">
        <v>0.52</v>
      </c>
      <c r="M39">
        <f>(N39*280/1000)*14/17</f>
        <v>3.6894117647058827E-2</v>
      </c>
      <c r="N39">
        <v>0.16</v>
      </c>
      <c r="P39" s="6">
        <f>M39*100/I39</f>
        <v>7.0950226244343897</v>
      </c>
      <c r="Q39" s="6">
        <v>1</v>
      </c>
      <c r="R39" s="6">
        <f t="shared" si="4"/>
        <v>10.135746606334843</v>
      </c>
      <c r="T39" t="s">
        <v>252</v>
      </c>
    </row>
    <row r="40" spans="1:50" x14ac:dyDescent="0.3">
      <c r="A40" t="s">
        <v>183</v>
      </c>
      <c r="C40" t="s">
        <v>253</v>
      </c>
      <c r="D40" t="s">
        <v>224</v>
      </c>
      <c r="E40" s="6">
        <v>19.004524886877832</v>
      </c>
      <c r="H40">
        <f t="shared" si="6"/>
        <v>0.36399999999999999</v>
      </c>
      <c r="I40">
        <v>0.52</v>
      </c>
      <c r="M40">
        <f>(N40*280/1000)*14/17</f>
        <v>6.9176470588235298E-2</v>
      </c>
      <c r="N40">
        <v>0.3</v>
      </c>
      <c r="P40" s="6">
        <f>M40*100/I40</f>
        <v>13.30316742081448</v>
      </c>
      <c r="Q40" s="6">
        <v>1</v>
      </c>
      <c r="R40" s="6">
        <f t="shared" si="4"/>
        <v>19.004524886877832</v>
      </c>
      <c r="T40" t="s">
        <v>252</v>
      </c>
    </row>
    <row r="41" spans="1:50" x14ac:dyDescent="0.3">
      <c r="A41" t="s">
        <v>183</v>
      </c>
      <c r="C41" t="s">
        <v>253</v>
      </c>
      <c r="D41" t="s">
        <v>67</v>
      </c>
      <c r="E41" s="6">
        <v>31.674208144796385</v>
      </c>
      <c r="H41">
        <f t="shared" si="6"/>
        <v>0.36399999999999999</v>
      </c>
      <c r="I41">
        <v>0.52</v>
      </c>
      <c r="M41">
        <f>(N41*280/1000)*14/17</f>
        <v>0.11529411764705884</v>
      </c>
      <c r="N41">
        <v>0.5</v>
      </c>
      <c r="P41" s="6">
        <f>M41*100/I41</f>
        <v>22.171945701357469</v>
      </c>
      <c r="Q41" s="6">
        <v>1</v>
      </c>
      <c r="R41" s="6">
        <f t="shared" si="4"/>
        <v>31.674208144796385</v>
      </c>
      <c r="T41" t="s">
        <v>252</v>
      </c>
    </row>
    <row r="42" spans="1:50" ht="15" thickBot="1" x14ac:dyDescent="0.35">
      <c r="A42" t="s">
        <v>183</v>
      </c>
      <c r="C42" t="s">
        <v>256</v>
      </c>
      <c r="D42" t="s">
        <v>324</v>
      </c>
      <c r="E42" s="6">
        <v>20.510975170924794</v>
      </c>
      <c r="H42">
        <f t="shared" si="6"/>
        <v>27.79</v>
      </c>
      <c r="I42">
        <v>39.700000000000003</v>
      </c>
      <c r="K42">
        <v>5.7</v>
      </c>
      <c r="M42">
        <f>K42</f>
        <v>5.7</v>
      </c>
      <c r="P42" s="6">
        <f>M42*100/I42</f>
        <v>14.357682619647354</v>
      </c>
      <c r="Q42" s="6">
        <v>1</v>
      </c>
      <c r="R42" s="6">
        <f t="shared" si="4"/>
        <v>20.510975170924794</v>
      </c>
      <c r="T42" t="s">
        <v>451</v>
      </c>
    </row>
    <row r="43" spans="1:50" x14ac:dyDescent="0.3">
      <c r="A43" s="36" t="s">
        <v>183</v>
      </c>
      <c r="B43" s="37" t="s">
        <v>353</v>
      </c>
      <c r="C43" s="37"/>
      <c r="D43" s="40"/>
      <c r="E43" s="40">
        <v>20.510975170924794</v>
      </c>
      <c r="P43" s="6">
        <f>MEDIAN(P32:P42)</f>
        <v>14.357682619647354</v>
      </c>
      <c r="Q43" s="6"/>
      <c r="R43" s="6">
        <f>MEDIAN(R32:R42)</f>
        <v>20.510975170924794</v>
      </c>
    </row>
    <row r="44" spans="1:50" x14ac:dyDescent="0.3">
      <c r="A44" s="46" t="s">
        <v>183</v>
      </c>
      <c r="B44" s="43" t="s">
        <v>354</v>
      </c>
      <c r="C44" s="43"/>
      <c r="D44" s="52"/>
      <c r="E44" s="52">
        <v>20.652129099071189</v>
      </c>
      <c r="P44" s="6">
        <f>AVERAGE(P32:P42)</f>
        <v>14.456490369349829</v>
      </c>
      <c r="Q44" s="6"/>
      <c r="R44" s="6">
        <f>AVERAGE(R32:R42)</f>
        <v>20.652129099071189</v>
      </c>
    </row>
    <row r="45" spans="1:50" ht="15" thickBot="1" x14ac:dyDescent="0.35">
      <c r="A45" s="38" t="s">
        <v>183</v>
      </c>
      <c r="B45" s="39" t="s">
        <v>210</v>
      </c>
      <c r="C45" s="39"/>
      <c r="D45" s="41"/>
      <c r="E45" s="41">
        <v>10.038365022467538</v>
      </c>
      <c r="P45" s="6">
        <f>STDEV(P32:P42)</f>
        <v>7.0268555157272834</v>
      </c>
      <c r="Q45" s="6"/>
      <c r="R45" s="6">
        <f>STDEV(R32:R42)</f>
        <v>10.038365022467538</v>
      </c>
    </row>
    <row r="46" spans="1:50" s="53" customFormat="1" ht="15" thickBot="1" x14ac:dyDescent="0.35">
      <c r="A46" s="38" t="s">
        <v>183</v>
      </c>
      <c r="B46" s="39" t="s">
        <v>366</v>
      </c>
      <c r="C46" s="39"/>
      <c r="D46" s="41"/>
      <c r="E46" s="41">
        <v>20.967133398468587</v>
      </c>
      <c r="F46"/>
      <c r="G46"/>
      <c r="H46"/>
      <c r="I46"/>
      <c r="J46"/>
      <c r="K46"/>
      <c r="L46"/>
      <c r="M46"/>
      <c r="N46"/>
      <c r="O46"/>
      <c r="P46" s="6"/>
      <c r="Q46" s="6">
        <f>SUM(Q32:Q42)</f>
        <v>16</v>
      </c>
      <c r="R46" s="6">
        <f>((R32*Q32)+(R33*Q33)+(R34*Q34)+(R35*Q35)+(R36*Q36)+(R37*Q37)+(R38*Q38)+(R39*Q39)+(R40*Q40)+(R41*Q41)+(R42*Q42))/Q46</f>
        <v>20.967133398468587</v>
      </c>
      <c r="S46"/>
      <c r="T46" t="s">
        <v>366</v>
      </c>
      <c r="U46"/>
      <c r="V46"/>
      <c r="W46"/>
      <c r="X46"/>
      <c r="Y46"/>
      <c r="Z46"/>
      <c r="AA46"/>
      <c r="AB46"/>
      <c r="AC46"/>
      <c r="AD46"/>
      <c r="AE46"/>
      <c r="AF46"/>
      <c r="AG46"/>
      <c r="AH46"/>
      <c r="AI46"/>
      <c r="AJ46"/>
      <c r="AK46"/>
      <c r="AL46"/>
      <c r="AM46"/>
      <c r="AN46"/>
      <c r="AO46"/>
      <c r="AP46"/>
      <c r="AQ46"/>
      <c r="AR46"/>
      <c r="AS46"/>
      <c r="AT46"/>
      <c r="AU46"/>
      <c r="AV46"/>
      <c r="AW46"/>
      <c r="AX46"/>
    </row>
    <row r="47" spans="1:50" s="53" customFormat="1" x14ac:dyDescent="0.3">
      <c r="A47"/>
      <c r="B47"/>
      <c r="C47"/>
      <c r="D47"/>
      <c r="E47" s="6"/>
      <c r="F47"/>
      <c r="G47"/>
      <c r="H47"/>
      <c r="I47"/>
      <c r="J47"/>
      <c r="K47"/>
      <c r="L47"/>
      <c r="M47"/>
      <c r="N47"/>
      <c r="O47"/>
      <c r="P47" s="6"/>
      <c r="Q47" s="6"/>
      <c r="R47" s="6"/>
      <c r="S47"/>
      <c r="T47"/>
      <c r="U47"/>
      <c r="V47"/>
      <c r="W47"/>
      <c r="X47"/>
      <c r="Y47"/>
      <c r="Z47"/>
      <c r="AA47"/>
      <c r="AB47"/>
      <c r="AC47"/>
      <c r="AD47"/>
      <c r="AE47"/>
      <c r="AF47"/>
      <c r="AG47"/>
      <c r="AH47"/>
      <c r="AI47"/>
      <c r="AJ47"/>
      <c r="AK47"/>
      <c r="AL47"/>
      <c r="AM47"/>
      <c r="AN47"/>
      <c r="AO47"/>
      <c r="AP47"/>
      <c r="AQ47"/>
      <c r="AR47"/>
      <c r="AS47"/>
      <c r="AT47"/>
      <c r="AU47"/>
      <c r="AV47"/>
      <c r="AW47"/>
      <c r="AX47"/>
    </row>
    <row r="48" spans="1:50" x14ac:dyDescent="0.3">
      <c r="A48" t="s">
        <v>328</v>
      </c>
      <c r="B48" t="s">
        <v>3</v>
      </c>
      <c r="C48" t="s">
        <v>253</v>
      </c>
      <c r="D48" t="s">
        <v>68</v>
      </c>
      <c r="E48" s="6">
        <v>14.050738778923895</v>
      </c>
      <c r="G48">
        <v>0.7</v>
      </c>
      <c r="I48">
        <v>2.11</v>
      </c>
      <c r="J48">
        <f>I48*0.7</f>
        <v>1.4769999999999999</v>
      </c>
      <c r="M48">
        <f>(N48*280/1000)*14/17</f>
        <v>0.20752941176470588</v>
      </c>
      <c r="N48">
        <v>0.9</v>
      </c>
      <c r="P48" s="6">
        <f>M48*100/I48</f>
        <v>9.835517145246726</v>
      </c>
      <c r="Q48" s="6">
        <v>1</v>
      </c>
      <c r="R48" s="6">
        <f>P48/0.7</f>
        <v>14.050738778923895</v>
      </c>
      <c r="T48" t="s">
        <v>373</v>
      </c>
    </row>
    <row r="49" spans="1:50" ht="15" thickBot="1" x14ac:dyDescent="0.35">
      <c r="A49" t="s">
        <v>328</v>
      </c>
      <c r="B49" t="s">
        <v>3</v>
      </c>
      <c r="C49" t="s">
        <v>253</v>
      </c>
      <c r="D49" t="s">
        <v>68</v>
      </c>
      <c r="E49" s="6">
        <v>10.928352383607471</v>
      </c>
      <c r="G49">
        <v>0.7</v>
      </c>
      <c r="I49">
        <v>2.11</v>
      </c>
      <c r="J49">
        <f>I49*0.7</f>
        <v>1.4769999999999999</v>
      </c>
      <c r="M49">
        <f>(N49*280/1000)*14/17</f>
        <v>0.16141176470588237</v>
      </c>
      <c r="N49">
        <v>0.7</v>
      </c>
      <c r="P49" s="6">
        <f>M49*100/I49</f>
        <v>7.64984666852523</v>
      </c>
      <c r="Q49" s="6">
        <v>1</v>
      </c>
      <c r="R49" s="6">
        <f>P49/0.7</f>
        <v>10.928352383607471</v>
      </c>
      <c r="T49" t="s">
        <v>373</v>
      </c>
    </row>
    <row r="50" spans="1:50" x14ac:dyDescent="0.3">
      <c r="A50" s="36" t="s">
        <v>328</v>
      </c>
      <c r="B50" s="37" t="s">
        <v>353</v>
      </c>
      <c r="C50" s="37"/>
      <c r="D50" s="40"/>
      <c r="E50" s="40">
        <v>12.489545581265684</v>
      </c>
      <c r="P50" s="6">
        <f>MEDIAN(P48:P49)</f>
        <v>8.7426819068859771</v>
      </c>
      <c r="Q50" s="6"/>
      <c r="R50" s="6">
        <f>MEDIAN(R48:R49)</f>
        <v>12.489545581265684</v>
      </c>
    </row>
    <row r="51" spans="1:50" x14ac:dyDescent="0.3">
      <c r="A51" s="46" t="s">
        <v>328</v>
      </c>
      <c r="B51" s="43" t="s">
        <v>354</v>
      </c>
      <c r="C51" s="43"/>
      <c r="D51" s="52"/>
      <c r="E51" s="52">
        <v>12.489545581265684</v>
      </c>
      <c r="P51" s="6">
        <f>AVERAGE(P48:P49)</f>
        <v>8.7426819068859771</v>
      </c>
      <c r="Q51" s="6"/>
      <c r="R51" s="6">
        <f>AVERAGE(R48:R49)</f>
        <v>12.489545581265684</v>
      </c>
    </row>
    <row r="52" spans="1:50" ht="15" thickBot="1" x14ac:dyDescent="0.35">
      <c r="A52" s="38" t="s">
        <v>328</v>
      </c>
      <c r="B52" s="39" t="s">
        <v>210</v>
      </c>
      <c r="C52" s="39"/>
      <c r="D52" s="41"/>
      <c r="E52" s="41">
        <v>2.2078605936128413</v>
      </c>
      <c r="P52" s="6">
        <f>STDEV(P48:P49)</f>
        <v>1.5455024155290238</v>
      </c>
      <c r="Q52" s="6"/>
      <c r="R52" s="6">
        <f>STDEV(R48:R49)</f>
        <v>2.2078605936128413</v>
      </c>
    </row>
    <row r="53" spans="1:50" ht="15" thickBot="1" x14ac:dyDescent="0.35">
      <c r="A53" s="38" t="s">
        <v>328</v>
      </c>
      <c r="B53" s="39" t="s">
        <v>366</v>
      </c>
      <c r="C53" s="39"/>
      <c r="D53" s="41"/>
      <c r="E53" s="41">
        <v>12.489545581265684</v>
      </c>
      <c r="P53" s="6"/>
      <c r="Q53" s="6">
        <f>SUM(Q48:Q49)</f>
        <v>2</v>
      </c>
      <c r="R53" s="6">
        <f>((R48*Q48)+(R49*Q49))/Q53</f>
        <v>12.489545581265684</v>
      </c>
    </row>
    <row r="54" spans="1:50" x14ac:dyDescent="0.3">
      <c r="E54" s="6"/>
    </row>
    <row r="55" spans="1:50" x14ac:dyDescent="0.3">
      <c r="E55" s="6"/>
    </row>
    <row r="56" spans="1:50" ht="15" thickBot="1" x14ac:dyDescent="0.35">
      <c r="E56" s="6"/>
    </row>
    <row r="57" spans="1:50" ht="18.600000000000001" thickBot="1" x14ac:dyDescent="0.4">
      <c r="A57" s="66" t="s">
        <v>378</v>
      </c>
      <c r="B57" s="57"/>
      <c r="C57" s="57"/>
      <c r="D57" s="57"/>
      <c r="E57" s="64"/>
      <c r="F57" s="57"/>
      <c r="G57" s="57"/>
      <c r="H57" s="57"/>
      <c r="I57" s="57"/>
      <c r="J57" s="57"/>
      <c r="K57" s="57"/>
      <c r="L57" s="57"/>
      <c r="M57" s="57"/>
      <c r="N57" s="57"/>
      <c r="O57" s="57"/>
      <c r="P57" s="58"/>
    </row>
    <row r="58" spans="1:50" s="2" customFormat="1" x14ac:dyDescent="0.3">
      <c r="A58" t="s">
        <v>28</v>
      </c>
      <c r="B58" t="s">
        <v>41</v>
      </c>
      <c r="C58" t="s">
        <v>104</v>
      </c>
      <c r="D58"/>
      <c r="E58" s="6"/>
      <c r="F58"/>
      <c r="G58"/>
      <c r="H58"/>
      <c r="I58"/>
      <c r="J58"/>
      <c r="K58"/>
      <c r="L58">
        <v>17899</v>
      </c>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row>
    <row r="59" spans="1:50" x14ac:dyDescent="0.3">
      <c r="E59" s="6"/>
    </row>
    <row r="60" spans="1:50" x14ac:dyDescent="0.3">
      <c r="E60" s="6"/>
    </row>
    <row r="61" spans="1:50" x14ac:dyDescent="0.3">
      <c r="A61" t="s">
        <v>352</v>
      </c>
      <c r="B61" t="s">
        <v>29</v>
      </c>
      <c r="C61" t="s">
        <v>71</v>
      </c>
      <c r="E61" s="6"/>
      <c r="L61">
        <v>5058</v>
      </c>
      <c r="O61">
        <v>0.33</v>
      </c>
      <c r="U61" t="s">
        <v>32</v>
      </c>
    </row>
    <row r="62" spans="1:50" x14ac:dyDescent="0.3">
      <c r="A62" t="s">
        <v>30</v>
      </c>
      <c r="B62" t="s">
        <v>29</v>
      </c>
      <c r="C62" t="s">
        <v>71</v>
      </c>
      <c r="E62" s="6"/>
      <c r="L62">
        <v>6272</v>
      </c>
      <c r="O62">
        <v>0.376</v>
      </c>
      <c r="U62" t="s">
        <v>32</v>
      </c>
    </row>
    <row r="63" spans="1:50" x14ac:dyDescent="0.3">
      <c r="E63" s="6"/>
    </row>
    <row r="64" spans="1:50" x14ac:dyDescent="0.3">
      <c r="A64" t="s">
        <v>183</v>
      </c>
      <c r="B64" t="s">
        <v>3</v>
      </c>
      <c r="C64" t="s">
        <v>103</v>
      </c>
      <c r="D64" t="s">
        <v>184</v>
      </c>
      <c r="E64" s="6"/>
      <c r="F64">
        <v>0.6</v>
      </c>
      <c r="G64">
        <v>1</v>
      </c>
      <c r="K64">
        <f>L64*1000/(500/1.55)</f>
        <v>248.77500000000001</v>
      </c>
      <c r="L64">
        <f>(66+94.5)/2</f>
        <v>80.25</v>
      </c>
      <c r="P64">
        <f>S64*1/G64</f>
        <v>15.133812500000001</v>
      </c>
      <c r="S64">
        <f>K64*100/(F64*1000000/365)</f>
        <v>15.133812500000001</v>
      </c>
      <c r="U64" t="s">
        <v>225</v>
      </c>
    </row>
    <row r="65" spans="1:50" x14ac:dyDescent="0.3">
      <c r="A65" t="s">
        <v>183</v>
      </c>
      <c r="B65" t="s">
        <v>3</v>
      </c>
      <c r="C65" t="s">
        <v>104</v>
      </c>
      <c r="D65" t="s">
        <v>184</v>
      </c>
      <c r="E65" s="6"/>
      <c r="F65">
        <v>0.6</v>
      </c>
      <c r="G65">
        <v>1</v>
      </c>
      <c r="K65">
        <f>(10.9/22900+ 13.3/23900 + 11.8/25000)*1000000/3</f>
        <v>501.48929613320911</v>
      </c>
      <c r="P65">
        <f>S65*1/G65</f>
        <v>30.507265514770225</v>
      </c>
      <c r="S65">
        <f>K65*100/(F65*1000000/365)</f>
        <v>30.507265514770225</v>
      </c>
    </row>
    <row r="66" spans="1:50" x14ac:dyDescent="0.3">
      <c r="E66" s="6"/>
    </row>
    <row r="67" spans="1:50" x14ac:dyDescent="0.3">
      <c r="E67" s="6"/>
    </row>
    <row r="68" spans="1:50" x14ac:dyDescent="0.3">
      <c r="A68" t="s">
        <v>328</v>
      </c>
      <c r="B68" t="s">
        <v>269</v>
      </c>
      <c r="D68" t="s">
        <v>327</v>
      </c>
      <c r="E68" s="6"/>
      <c r="G68">
        <v>0.7</v>
      </c>
      <c r="I68">
        <v>1.44</v>
      </c>
      <c r="J68">
        <f>I68*0.7</f>
        <v>1.008</v>
      </c>
      <c r="M68">
        <f>(N68*280/1000)*14/17</f>
        <v>0.36894117647058827</v>
      </c>
      <c r="N68">
        <v>1.6</v>
      </c>
      <c r="P68">
        <f>M68*100/J68</f>
        <v>36.601307189542489</v>
      </c>
    </row>
    <row r="69" spans="1:50" x14ac:dyDescent="0.3">
      <c r="E69" s="6"/>
    </row>
    <row r="70" spans="1:50" s="2" customFormat="1" x14ac:dyDescent="0.3">
      <c r="A70" t="s">
        <v>28</v>
      </c>
      <c r="B70" t="s">
        <v>113</v>
      </c>
      <c r="C70" t="s">
        <v>109</v>
      </c>
      <c r="D70" t="s">
        <v>69</v>
      </c>
      <c r="E70" s="6"/>
      <c r="F70"/>
      <c r="G70"/>
      <c r="H70"/>
      <c r="I70"/>
      <c r="J70"/>
      <c r="K70">
        <v>129</v>
      </c>
      <c r="L70">
        <v>33.4</v>
      </c>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row>
    <row r="71" spans="1:50" s="2" customFormat="1" x14ac:dyDescent="0.3">
      <c r="A71" t="s">
        <v>28</v>
      </c>
      <c r="B71" t="s">
        <v>31</v>
      </c>
      <c r="C71" t="s">
        <v>71</v>
      </c>
      <c r="D71"/>
      <c r="E71" s="6"/>
      <c r="F71"/>
      <c r="G71"/>
      <c r="H71"/>
      <c r="I71"/>
      <c r="J71"/>
      <c r="K71"/>
      <c r="L71">
        <v>2.15</v>
      </c>
      <c r="M71"/>
      <c r="N71"/>
      <c r="O71">
        <v>0.129</v>
      </c>
      <c r="P71"/>
      <c r="Q71"/>
      <c r="R71"/>
      <c r="S71"/>
      <c r="T71"/>
      <c r="U71"/>
      <c r="V71"/>
      <c r="W71"/>
      <c r="X71"/>
      <c r="Y71"/>
      <c r="Z71"/>
      <c r="AA71"/>
      <c r="AB71"/>
      <c r="AC71"/>
      <c r="AD71"/>
      <c r="AE71"/>
      <c r="AF71"/>
      <c r="AG71"/>
      <c r="AH71"/>
      <c r="AI71"/>
      <c r="AJ71"/>
      <c r="AK71"/>
      <c r="AL71"/>
      <c r="AM71"/>
      <c r="AN71"/>
      <c r="AO71"/>
      <c r="AP71"/>
      <c r="AQ71"/>
      <c r="AR71"/>
      <c r="AS71"/>
      <c r="AT71"/>
      <c r="AU71"/>
      <c r="AV71"/>
      <c r="AW71"/>
      <c r="AX71"/>
    </row>
    <row r="72" spans="1:50" s="2" customFormat="1" x14ac:dyDescent="0.3">
      <c r="A72" t="s">
        <v>28</v>
      </c>
      <c r="B72" t="s">
        <v>98</v>
      </c>
      <c r="C72" t="s">
        <v>104</v>
      </c>
      <c r="D72"/>
      <c r="E72" s="6"/>
      <c r="F72"/>
      <c r="G72"/>
      <c r="H72"/>
      <c r="I72"/>
      <c r="J72"/>
      <c r="K72">
        <f>0.86*1000</f>
        <v>860</v>
      </c>
      <c r="L72"/>
      <c r="M72"/>
      <c r="N72"/>
      <c r="O72"/>
      <c r="P72"/>
      <c r="Q72"/>
      <c r="R72"/>
      <c r="S72"/>
      <c r="T72"/>
      <c r="U72" t="s">
        <v>222</v>
      </c>
      <c r="V72"/>
      <c r="W72"/>
      <c r="X72"/>
      <c r="Y72"/>
      <c r="Z72"/>
      <c r="AA72"/>
      <c r="AB72"/>
      <c r="AC72"/>
      <c r="AD72"/>
      <c r="AE72"/>
      <c r="AF72"/>
      <c r="AG72"/>
      <c r="AH72"/>
      <c r="AI72"/>
      <c r="AJ72"/>
      <c r="AK72"/>
      <c r="AL72"/>
      <c r="AM72"/>
      <c r="AN72"/>
      <c r="AO72"/>
      <c r="AP72"/>
      <c r="AQ72"/>
      <c r="AR72"/>
      <c r="AS72"/>
      <c r="AT72"/>
      <c r="AU72"/>
      <c r="AV72"/>
      <c r="AW72"/>
      <c r="AX72"/>
    </row>
    <row r="73" spans="1:50" s="2" customFormat="1" x14ac:dyDescent="0.3">
      <c r="A73" t="s">
        <v>28</v>
      </c>
      <c r="B73" t="s">
        <v>99</v>
      </c>
      <c r="C73" t="s">
        <v>104</v>
      </c>
      <c r="D73"/>
      <c r="E73" s="6"/>
      <c r="F73"/>
      <c r="G73"/>
      <c r="H73"/>
      <c r="I73"/>
      <c r="J73"/>
      <c r="K73">
        <f>(0.094+0.054)*1000/2</f>
        <v>74</v>
      </c>
      <c r="L73"/>
      <c r="M73"/>
      <c r="N73"/>
      <c r="O73"/>
      <c r="P73"/>
      <c r="Q73"/>
      <c r="R73"/>
      <c r="S73"/>
      <c r="T73"/>
      <c r="U73" t="s">
        <v>222</v>
      </c>
      <c r="V73"/>
      <c r="W73"/>
      <c r="X73"/>
      <c r="Y73"/>
      <c r="Z73"/>
      <c r="AA73"/>
      <c r="AB73"/>
      <c r="AC73"/>
      <c r="AD73"/>
      <c r="AE73"/>
      <c r="AF73"/>
      <c r="AG73"/>
      <c r="AH73"/>
      <c r="AI73"/>
      <c r="AJ73"/>
      <c r="AK73"/>
      <c r="AL73"/>
      <c r="AM73"/>
      <c r="AN73"/>
      <c r="AO73"/>
      <c r="AP73"/>
      <c r="AQ73"/>
      <c r="AR73"/>
      <c r="AS73"/>
      <c r="AT73"/>
      <c r="AU73"/>
      <c r="AV73"/>
      <c r="AW73"/>
      <c r="AX73"/>
    </row>
    <row r="74" spans="1:50" s="2" customFormat="1" x14ac:dyDescent="0.3">
      <c r="A74" t="s">
        <v>28</v>
      </c>
      <c r="B74" t="s">
        <v>91</v>
      </c>
      <c r="C74" t="s">
        <v>104</v>
      </c>
      <c r="D74" t="s">
        <v>92</v>
      </c>
      <c r="E74" s="6"/>
      <c r="F74">
        <v>0.6</v>
      </c>
      <c r="G74">
        <v>1</v>
      </c>
      <c r="H74"/>
      <c r="I74"/>
      <c r="J74"/>
      <c r="K74">
        <f>0.28*1000</f>
        <v>280</v>
      </c>
      <c r="L74"/>
      <c r="M74"/>
      <c r="N74"/>
      <c r="O74"/>
      <c r="P74">
        <f>S74*1/G74</f>
        <v>17.033333333333335</v>
      </c>
      <c r="Q74"/>
      <c r="R74"/>
      <c r="S74">
        <f>K74*100/(F74*1000000/365)</f>
        <v>17.033333333333335</v>
      </c>
      <c r="T74"/>
      <c r="U74"/>
      <c r="V74"/>
      <c r="W74"/>
      <c r="X74"/>
      <c r="Y74"/>
      <c r="Z74"/>
      <c r="AA74"/>
      <c r="AB74"/>
      <c r="AC74"/>
      <c r="AD74"/>
      <c r="AE74"/>
      <c r="AF74"/>
      <c r="AG74"/>
      <c r="AH74"/>
      <c r="AI74"/>
      <c r="AJ74"/>
      <c r="AK74"/>
      <c r="AL74"/>
      <c r="AM74"/>
      <c r="AN74"/>
      <c r="AO74"/>
      <c r="AP74"/>
      <c r="AQ74"/>
      <c r="AR74"/>
      <c r="AS74"/>
      <c r="AT74"/>
      <c r="AU74"/>
      <c r="AV74"/>
      <c r="AW74"/>
      <c r="AX74"/>
    </row>
    <row r="75" spans="1:50" s="2" customFormat="1" x14ac:dyDescent="0.3">
      <c r="A75" t="s">
        <v>28</v>
      </c>
      <c r="B75" t="s">
        <v>191</v>
      </c>
      <c r="C75" t="s">
        <v>104</v>
      </c>
      <c r="D75" t="s">
        <v>92</v>
      </c>
      <c r="E75" s="6"/>
      <c r="F75"/>
      <c r="G75"/>
      <c r="H75"/>
      <c r="I75"/>
      <c r="J75"/>
      <c r="K75">
        <f>0.082*1000</f>
        <v>82</v>
      </c>
      <c r="L75">
        <f>(31.2+20.7)/2</f>
        <v>25.95</v>
      </c>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row>
    <row r="76" spans="1:50" s="2" customFormat="1" x14ac:dyDescent="0.3">
      <c r="A76" t="s">
        <v>28</v>
      </c>
      <c r="B76" t="s">
        <v>190</v>
      </c>
      <c r="C76" t="s">
        <v>104</v>
      </c>
      <c r="D76" t="s">
        <v>92</v>
      </c>
      <c r="E76" s="6"/>
      <c r="F76"/>
      <c r="G76"/>
      <c r="H76"/>
      <c r="I76"/>
      <c r="J76"/>
      <c r="K76">
        <f>0.054*1000</f>
        <v>54</v>
      </c>
      <c r="L76">
        <f>(19.3+15.6)/2</f>
        <v>17.45</v>
      </c>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row>
    <row r="77" spans="1:50" x14ac:dyDescent="0.3">
      <c r="E77" s="6"/>
    </row>
    <row r="78" spans="1:50" s="2" customFormat="1" x14ac:dyDescent="0.3">
      <c r="A78" t="s">
        <v>28</v>
      </c>
      <c r="B78" t="s">
        <v>96</v>
      </c>
      <c r="C78" t="s">
        <v>103</v>
      </c>
      <c r="D78"/>
      <c r="E78" s="6"/>
      <c r="F78">
        <v>0.6</v>
      </c>
      <c r="G78">
        <v>1</v>
      </c>
      <c r="H78"/>
      <c r="I78"/>
      <c r="J78"/>
      <c r="K78">
        <f>M78*1000/365</f>
        <v>58.082191780821915</v>
      </c>
      <c r="L78"/>
      <c r="M78">
        <v>21.2</v>
      </c>
      <c r="N78"/>
      <c r="O78"/>
      <c r="P78">
        <f>S78*1/G78</f>
        <v>3.5333333333333332</v>
      </c>
      <c r="Q78"/>
      <c r="R78"/>
      <c r="S78">
        <f>K78*100/(F78*1000000/365)</f>
        <v>3.5333333333333332</v>
      </c>
      <c r="T78"/>
      <c r="U78"/>
      <c r="V78"/>
      <c r="W78"/>
      <c r="X78"/>
      <c r="Y78"/>
      <c r="Z78"/>
      <c r="AA78"/>
      <c r="AB78"/>
      <c r="AC78"/>
      <c r="AD78"/>
      <c r="AE78"/>
      <c r="AF78"/>
      <c r="AG78"/>
      <c r="AH78"/>
      <c r="AI78"/>
      <c r="AJ78"/>
      <c r="AK78"/>
      <c r="AL78"/>
      <c r="AM78"/>
      <c r="AN78"/>
      <c r="AO78"/>
      <c r="AP78"/>
      <c r="AQ78"/>
      <c r="AR78"/>
      <c r="AS78"/>
      <c r="AT78"/>
      <c r="AU78"/>
      <c r="AV78"/>
      <c r="AW78"/>
      <c r="AX78"/>
    </row>
    <row r="79" spans="1:50" s="2" customFormat="1" x14ac:dyDescent="0.3">
      <c r="A79" t="s">
        <v>28</v>
      </c>
      <c r="B79" t="s">
        <v>97</v>
      </c>
      <c r="C79" t="s">
        <v>103</v>
      </c>
      <c r="D79"/>
      <c r="E79" s="6"/>
      <c r="F79">
        <v>0.6</v>
      </c>
      <c r="G79">
        <v>1</v>
      </c>
      <c r="H79"/>
      <c r="I79"/>
      <c r="J79"/>
      <c r="K79">
        <f>M79*1000/365</f>
        <v>43.287671232876711</v>
      </c>
      <c r="L79"/>
      <c r="M79">
        <v>15.8</v>
      </c>
      <c r="N79"/>
      <c r="O79"/>
      <c r="P79">
        <f>S79*1/G79</f>
        <v>2.6333333333333333</v>
      </c>
      <c r="Q79"/>
      <c r="R79"/>
      <c r="S79">
        <f>K79*100/(F79*1000000/365)</f>
        <v>2.6333333333333333</v>
      </c>
      <c r="T79"/>
      <c r="U79"/>
      <c r="V79"/>
      <c r="W79"/>
      <c r="X79"/>
      <c r="Y79"/>
      <c r="Z79"/>
      <c r="AA79"/>
      <c r="AB79"/>
      <c r="AC79"/>
      <c r="AD79"/>
      <c r="AE79"/>
      <c r="AF79"/>
      <c r="AG79"/>
      <c r="AH79"/>
      <c r="AI79"/>
      <c r="AJ79"/>
      <c r="AK79"/>
      <c r="AL79"/>
      <c r="AM79"/>
      <c r="AN79"/>
      <c r="AO79"/>
      <c r="AP79"/>
      <c r="AQ79"/>
      <c r="AR79"/>
      <c r="AS79"/>
      <c r="AT79"/>
      <c r="AU79"/>
      <c r="AV79"/>
      <c r="AW79"/>
      <c r="AX79"/>
    </row>
    <row r="80" spans="1:50" s="2" customFormat="1" x14ac:dyDescent="0.3">
      <c r="A80" t="s">
        <v>28</v>
      </c>
      <c r="B80" t="s">
        <v>94</v>
      </c>
      <c r="C80" t="s">
        <v>103</v>
      </c>
      <c r="D80"/>
      <c r="E80" s="6">
        <v>64.833333333333329</v>
      </c>
      <c r="F80">
        <v>0.6</v>
      </c>
      <c r="G80">
        <v>1</v>
      </c>
      <c r="H80"/>
      <c r="I80"/>
      <c r="J80"/>
      <c r="K80">
        <f>M80*1000/365</f>
        <v>1065.7534246575342</v>
      </c>
      <c r="L80"/>
      <c r="M80">
        <v>389</v>
      </c>
      <c r="N80"/>
      <c r="O80"/>
      <c r="P80">
        <f>S80*1/G80</f>
        <v>64.833333333333329</v>
      </c>
      <c r="Q80"/>
      <c r="R80">
        <f>P80</f>
        <v>64.833333333333329</v>
      </c>
      <c r="S80">
        <f>K80*100/(F80*1000000/365)</f>
        <v>64.833333333333329</v>
      </c>
      <c r="T80"/>
      <c r="U80"/>
      <c r="V80"/>
      <c r="W80"/>
      <c r="X80"/>
      <c r="Y80"/>
      <c r="Z80"/>
      <c r="AA80"/>
      <c r="AB80"/>
      <c r="AC80"/>
      <c r="AD80"/>
      <c r="AE80"/>
      <c r="AF80"/>
      <c r="AG80"/>
      <c r="AH80"/>
      <c r="AI80"/>
      <c r="AJ80"/>
      <c r="AK80"/>
      <c r="AL80"/>
      <c r="AM80"/>
      <c r="AN80"/>
      <c r="AO80"/>
      <c r="AP80"/>
      <c r="AQ80"/>
      <c r="AR80"/>
      <c r="AS80"/>
      <c r="AT80"/>
      <c r="AU80"/>
      <c r="AV80"/>
      <c r="AW80"/>
      <c r="AX80"/>
    </row>
    <row r="81" spans="5:5" x14ac:dyDescent="0.3">
      <c r="E81" s="6"/>
    </row>
    <row r="82" spans="5:5" x14ac:dyDescent="0.3">
      <c r="E82" s="6"/>
    </row>
    <row r="83" spans="5:5" x14ac:dyDescent="0.3">
      <c r="E83" s="6"/>
    </row>
    <row r="84" spans="5:5" x14ac:dyDescent="0.3">
      <c r="E84" s="6"/>
    </row>
    <row r="85" spans="5:5" x14ac:dyDescent="0.3">
      <c r="E85" s="6"/>
    </row>
    <row r="86" spans="5:5" x14ac:dyDescent="0.3">
      <c r="E86" s="6"/>
    </row>
    <row r="87" spans="5:5" x14ac:dyDescent="0.3">
      <c r="E87" s="6"/>
    </row>
    <row r="88" spans="5:5" x14ac:dyDescent="0.3">
      <c r="E88" s="6"/>
    </row>
    <row r="89" spans="5:5" x14ac:dyDescent="0.3">
      <c r="E89" s="6"/>
    </row>
    <row r="90" spans="5:5" x14ac:dyDescent="0.3">
      <c r="E90" s="6"/>
    </row>
    <row r="91" spans="5:5" x14ac:dyDescent="0.3">
      <c r="E91" s="6"/>
    </row>
    <row r="92" spans="5:5" x14ac:dyDescent="0.3">
      <c r="E92" s="6"/>
    </row>
    <row r="93" spans="5:5" x14ac:dyDescent="0.3">
      <c r="E93" s="6"/>
    </row>
    <row r="94" spans="5:5" x14ac:dyDescent="0.3">
      <c r="E94" s="6"/>
    </row>
    <row r="95" spans="5:5" x14ac:dyDescent="0.3">
      <c r="E95" s="6"/>
    </row>
    <row r="96" spans="5:5" x14ac:dyDescent="0.3">
      <c r="E96" s="6"/>
    </row>
    <row r="97" spans="5:5" x14ac:dyDescent="0.3">
      <c r="E97" s="6"/>
    </row>
    <row r="98" spans="5:5" x14ac:dyDescent="0.3">
      <c r="E98" s="6"/>
    </row>
    <row r="99" spans="5:5" x14ac:dyDescent="0.3">
      <c r="E99" s="6"/>
    </row>
    <row r="100" spans="5:5" x14ac:dyDescent="0.3">
      <c r="E100" s="6"/>
    </row>
    <row r="101" spans="5:5" x14ac:dyDescent="0.3">
      <c r="E101" s="6"/>
    </row>
    <row r="102" spans="5:5" x14ac:dyDescent="0.3">
      <c r="E102" s="6"/>
    </row>
    <row r="103" spans="5:5" x14ac:dyDescent="0.3">
      <c r="E103" s="6"/>
    </row>
    <row r="104" spans="5:5" x14ac:dyDescent="0.3">
      <c r="E104" s="6"/>
    </row>
    <row r="105" spans="5:5" x14ac:dyDescent="0.3">
      <c r="E105" s="6"/>
    </row>
    <row r="106" spans="5:5" x14ac:dyDescent="0.3">
      <c r="E106" s="6"/>
    </row>
    <row r="107" spans="5:5" x14ac:dyDescent="0.3">
      <c r="E107" s="6"/>
    </row>
    <row r="108" spans="5:5" x14ac:dyDescent="0.3">
      <c r="E108" s="6"/>
    </row>
    <row r="109" spans="5:5" x14ac:dyDescent="0.3">
      <c r="E109" s="6"/>
    </row>
    <row r="110" spans="5:5" x14ac:dyDescent="0.3">
      <c r="E110" s="6"/>
    </row>
    <row r="111" spans="5:5" x14ac:dyDescent="0.3">
      <c r="E111" s="6"/>
    </row>
    <row r="112" spans="5:5" x14ac:dyDescent="0.3">
      <c r="E112" s="6"/>
    </row>
    <row r="113" spans="5:5" x14ac:dyDescent="0.3">
      <c r="E113" s="6"/>
    </row>
    <row r="114" spans="5:5" x14ac:dyDescent="0.3">
      <c r="E114" s="6"/>
    </row>
    <row r="115" spans="5:5" x14ac:dyDescent="0.3">
      <c r="E115" s="6"/>
    </row>
    <row r="116" spans="5:5" x14ac:dyDescent="0.3">
      <c r="E116" s="6"/>
    </row>
    <row r="117" spans="5:5" x14ac:dyDescent="0.3">
      <c r="E117" s="6"/>
    </row>
    <row r="118" spans="5:5" x14ac:dyDescent="0.3">
      <c r="E118" s="6"/>
    </row>
    <row r="119" spans="5:5" x14ac:dyDescent="0.3">
      <c r="E119" s="6"/>
    </row>
    <row r="120" spans="5:5" x14ac:dyDescent="0.3">
      <c r="E120" s="6"/>
    </row>
    <row r="121" spans="5:5" x14ac:dyDescent="0.3">
      <c r="E121" s="6"/>
    </row>
    <row r="122" spans="5:5" x14ac:dyDescent="0.3">
      <c r="E122" s="6"/>
    </row>
    <row r="123" spans="5:5" x14ac:dyDescent="0.3">
      <c r="E123" s="6"/>
    </row>
    <row r="124" spans="5:5" x14ac:dyDescent="0.3">
      <c r="E124" s="6"/>
    </row>
    <row r="125" spans="5:5" x14ac:dyDescent="0.3">
      <c r="E125" s="6"/>
    </row>
    <row r="126" spans="5:5" x14ac:dyDescent="0.3">
      <c r="E126" s="6"/>
    </row>
    <row r="127" spans="5:5" x14ac:dyDescent="0.3">
      <c r="E127" s="6"/>
    </row>
    <row r="128" spans="5:5" x14ac:dyDescent="0.3">
      <c r="E128" s="6"/>
    </row>
    <row r="129" spans="5:5" x14ac:dyDescent="0.3">
      <c r="E129" s="6"/>
    </row>
    <row r="130" spans="5:5" x14ac:dyDescent="0.3">
      <c r="E130" s="6"/>
    </row>
    <row r="131" spans="5:5" x14ac:dyDescent="0.3">
      <c r="E131" s="6"/>
    </row>
    <row r="132" spans="5:5" x14ac:dyDescent="0.3">
      <c r="E132" s="6"/>
    </row>
    <row r="133" spans="5:5" x14ac:dyDescent="0.3">
      <c r="E133" s="6"/>
    </row>
    <row r="134" spans="5:5" x14ac:dyDescent="0.3">
      <c r="E134" s="6"/>
    </row>
    <row r="135" spans="5:5" x14ac:dyDescent="0.3">
      <c r="E135" s="6"/>
    </row>
    <row r="136" spans="5:5" x14ac:dyDescent="0.3">
      <c r="E136" s="6"/>
    </row>
    <row r="137" spans="5:5" x14ac:dyDescent="0.3">
      <c r="E137" s="6"/>
    </row>
    <row r="138" spans="5:5" x14ac:dyDescent="0.3">
      <c r="E138" s="6"/>
    </row>
    <row r="139" spans="5:5" x14ac:dyDescent="0.3">
      <c r="E139" s="6"/>
    </row>
    <row r="140" spans="5:5" x14ac:dyDescent="0.3">
      <c r="E140" s="6"/>
    </row>
    <row r="141" spans="5:5" x14ac:dyDescent="0.3">
      <c r="E141" s="6"/>
    </row>
    <row r="142" spans="5:5" x14ac:dyDescent="0.3">
      <c r="E142" s="6"/>
    </row>
    <row r="143" spans="5:5" x14ac:dyDescent="0.3">
      <c r="E143" s="6"/>
    </row>
  </sheetData>
  <pageMargins left="0.7" right="0.7" top="0.75" bottom="0.75" header="0.3" footer="0.3"/>
  <pageSetup orientation="portrait" horizontalDpi="1200"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8"/>
  <sheetViews>
    <sheetView zoomScaleNormal="100" workbookViewId="0">
      <pane xSplit="4" ySplit="2" topLeftCell="W3" activePane="bottomRight" state="frozen"/>
      <selection pane="topRight" activeCell="D1" sqref="D1"/>
      <selection pane="bottomLeft" activeCell="A3" sqref="A3"/>
      <selection pane="bottomRight" activeCell="Z30" sqref="Z30"/>
    </sheetView>
  </sheetViews>
  <sheetFormatPr defaultRowHeight="14.4" x14ac:dyDescent="0.3"/>
  <cols>
    <col min="1" max="1" width="19.6640625" customWidth="1"/>
    <col min="2" max="3" width="14" customWidth="1"/>
    <col min="4" max="4" width="16.44140625" customWidth="1"/>
    <col min="5" max="5" width="14.109375" customWidth="1"/>
    <col min="7" max="7" width="10.88671875" customWidth="1"/>
    <col min="10" max="10" width="10.6640625" customWidth="1"/>
    <col min="11" max="11" width="11.5546875" customWidth="1"/>
    <col min="12" max="12" width="13" customWidth="1"/>
    <col min="16" max="16" width="10.5546875" customWidth="1"/>
    <col min="21" max="21" width="25.88671875" customWidth="1"/>
    <col min="22" max="22" width="17.6640625" customWidth="1"/>
    <col min="23" max="23" width="14.109375" customWidth="1"/>
    <col min="24" max="24" width="43.5546875" customWidth="1"/>
    <col min="26" max="26" width="25.109375" customWidth="1"/>
  </cols>
  <sheetData>
    <row r="1" spans="1:41" ht="26.4" customHeight="1" x14ac:dyDescent="0.3">
      <c r="E1" t="s">
        <v>337</v>
      </c>
      <c r="F1" t="s">
        <v>192</v>
      </c>
      <c r="G1" t="s">
        <v>194</v>
      </c>
      <c r="H1" t="s">
        <v>110</v>
      </c>
      <c r="I1" t="s">
        <v>304</v>
      </c>
      <c r="J1" t="s">
        <v>21</v>
      </c>
      <c r="K1" t="s">
        <v>200</v>
      </c>
      <c r="L1" t="s">
        <v>233</v>
      </c>
      <c r="N1" t="s">
        <v>304</v>
      </c>
      <c r="O1" t="s">
        <v>78</v>
      </c>
      <c r="P1" t="s">
        <v>73</v>
      </c>
      <c r="Q1" t="s">
        <v>73</v>
      </c>
      <c r="R1" t="s">
        <v>78</v>
      </c>
      <c r="S1" t="s">
        <v>73</v>
      </c>
      <c r="T1" t="s">
        <v>335</v>
      </c>
      <c r="V1" t="s">
        <v>365</v>
      </c>
      <c r="W1" t="s">
        <v>337</v>
      </c>
      <c r="X1" t="s">
        <v>343</v>
      </c>
      <c r="Y1" t="s">
        <v>73</v>
      </c>
      <c r="Z1" t="s">
        <v>376</v>
      </c>
    </row>
    <row r="2" spans="1:41" s="1" customFormat="1" ht="32.700000000000003" customHeight="1" x14ac:dyDescent="0.3">
      <c r="A2" t="s">
        <v>380</v>
      </c>
      <c r="B2" s="1" t="s">
        <v>381</v>
      </c>
      <c r="C2" t="s">
        <v>244</v>
      </c>
      <c r="D2" t="s">
        <v>111</v>
      </c>
      <c r="E2" t="s">
        <v>241</v>
      </c>
      <c r="F2" t="s">
        <v>193</v>
      </c>
      <c r="G2" t="s">
        <v>195</v>
      </c>
      <c r="H2" t="s">
        <v>196</v>
      </c>
      <c r="I2" t="s">
        <v>305</v>
      </c>
      <c r="J2" t="s">
        <v>24</v>
      </c>
      <c r="K2" t="s">
        <v>162</v>
      </c>
      <c r="L2" t="s">
        <v>232</v>
      </c>
      <c r="M2" t="s">
        <v>231</v>
      </c>
      <c r="N2" t="s">
        <v>306</v>
      </c>
      <c r="O2" t="s">
        <v>80</v>
      </c>
      <c r="P2" t="s">
        <v>79</v>
      </c>
      <c r="Q2" t="s">
        <v>81</v>
      </c>
      <c r="R2" t="s">
        <v>127</v>
      </c>
      <c r="S2" t="s">
        <v>74</v>
      </c>
      <c r="T2" t="s">
        <v>10</v>
      </c>
      <c r="U2"/>
      <c r="V2"/>
      <c r="W2" t="s">
        <v>241</v>
      </c>
      <c r="X2"/>
      <c r="Y2" t="s">
        <v>11</v>
      </c>
      <c r="Z2"/>
      <c r="AA2"/>
      <c r="AB2"/>
      <c r="AC2"/>
      <c r="AD2"/>
      <c r="AE2"/>
      <c r="AF2"/>
      <c r="AG2"/>
      <c r="AH2"/>
      <c r="AI2"/>
      <c r="AJ2"/>
      <c r="AK2"/>
      <c r="AL2"/>
      <c r="AM2"/>
      <c r="AN2"/>
      <c r="AO2"/>
    </row>
    <row r="3" spans="1:41" x14ac:dyDescent="0.3">
      <c r="A3" t="s">
        <v>140</v>
      </c>
      <c r="B3" t="s">
        <v>156</v>
      </c>
      <c r="C3" t="s">
        <v>114</v>
      </c>
      <c r="D3" t="s">
        <v>147</v>
      </c>
      <c r="E3" s="6">
        <v>18.360606060606056</v>
      </c>
      <c r="G3">
        <v>1</v>
      </c>
      <c r="H3">
        <v>132</v>
      </c>
      <c r="L3">
        <f>H3*1000/365</f>
        <v>361.64383561643837</v>
      </c>
      <c r="M3">
        <v>0.6</v>
      </c>
      <c r="O3">
        <f>Q3</f>
        <v>39.839999999999996</v>
      </c>
      <c r="Q3">
        <f>1.66*24</f>
        <v>39.839999999999996</v>
      </c>
      <c r="T3">
        <f>Y3/M3</f>
        <v>18.360606060606056</v>
      </c>
      <c r="V3">
        <v>4</v>
      </c>
      <c r="W3" s="6">
        <f>T3</f>
        <v>18.360606060606056</v>
      </c>
      <c r="Y3">
        <f>O3*100/L3</f>
        <v>11.016363636363634</v>
      </c>
      <c r="Z3" t="s">
        <v>157</v>
      </c>
    </row>
    <row r="4" spans="1:41" x14ac:dyDescent="0.3">
      <c r="A4" t="s">
        <v>48</v>
      </c>
      <c r="B4" t="s">
        <v>363</v>
      </c>
      <c r="C4" t="s">
        <v>114</v>
      </c>
      <c r="D4" t="s">
        <v>147</v>
      </c>
      <c r="E4" s="6"/>
      <c r="M4">
        <v>0.6</v>
      </c>
      <c r="O4">
        <v>7.1</v>
      </c>
      <c r="W4" s="6"/>
    </row>
    <row r="5" spans="1:41" x14ac:dyDescent="0.3">
      <c r="A5" t="s">
        <v>48</v>
      </c>
      <c r="B5" t="s">
        <v>148</v>
      </c>
      <c r="C5" t="s">
        <v>114</v>
      </c>
      <c r="D5" t="s">
        <v>104</v>
      </c>
      <c r="E5" s="6"/>
      <c r="M5">
        <v>0.6</v>
      </c>
      <c r="Q5">
        <v>24.4</v>
      </c>
      <c r="W5" s="6"/>
      <c r="Z5" t="s">
        <v>219</v>
      </c>
    </row>
    <row r="6" spans="1:41" x14ac:dyDescent="0.3">
      <c r="A6" t="s">
        <v>281</v>
      </c>
      <c r="B6" t="s">
        <v>250</v>
      </c>
      <c r="C6" t="s">
        <v>289</v>
      </c>
      <c r="D6" t="s">
        <v>287</v>
      </c>
      <c r="E6" s="6"/>
      <c r="G6" t="s">
        <v>82</v>
      </c>
      <c r="H6">
        <v>165</v>
      </c>
      <c r="T6">
        <f>Y6/0.6</f>
        <v>20</v>
      </c>
      <c r="W6" s="6"/>
      <c r="X6" t="s">
        <v>339</v>
      </c>
      <c r="Y6">
        <v>12</v>
      </c>
      <c r="Z6" t="s">
        <v>290</v>
      </c>
    </row>
    <row r="7" spans="1:41" x14ac:dyDescent="0.3">
      <c r="A7" t="s">
        <v>281</v>
      </c>
      <c r="B7" t="s">
        <v>250</v>
      </c>
      <c r="C7" t="s">
        <v>289</v>
      </c>
      <c r="D7" t="s">
        <v>287</v>
      </c>
      <c r="E7" s="6"/>
      <c r="G7" t="s">
        <v>82</v>
      </c>
      <c r="H7">
        <v>130</v>
      </c>
      <c r="T7">
        <f>Y7/0.7</f>
        <v>3.1428571428571432</v>
      </c>
      <c r="W7" s="6"/>
      <c r="X7" t="s">
        <v>339</v>
      </c>
      <c r="Y7">
        <v>2.2000000000000002</v>
      </c>
      <c r="Z7" t="s">
        <v>290</v>
      </c>
    </row>
    <row r="8" spans="1:41" x14ac:dyDescent="0.3">
      <c r="A8" t="s">
        <v>281</v>
      </c>
      <c r="B8" t="s">
        <v>250</v>
      </c>
      <c r="C8" t="s">
        <v>289</v>
      </c>
      <c r="D8" t="s">
        <v>287</v>
      </c>
      <c r="E8" s="6"/>
      <c r="G8" t="s">
        <v>82</v>
      </c>
      <c r="H8">
        <v>118</v>
      </c>
      <c r="T8">
        <f>Y8/0.6</f>
        <v>1.1666666666666667</v>
      </c>
      <c r="W8" s="6"/>
      <c r="X8" t="s">
        <v>339</v>
      </c>
      <c r="Y8">
        <v>0.7</v>
      </c>
      <c r="Z8" t="s">
        <v>290</v>
      </c>
    </row>
    <row r="9" spans="1:41" x14ac:dyDescent="0.3">
      <c r="A9" t="s">
        <v>281</v>
      </c>
      <c r="B9" t="s">
        <v>250</v>
      </c>
      <c r="C9" t="s">
        <v>301</v>
      </c>
      <c r="D9" t="s">
        <v>298</v>
      </c>
      <c r="E9" s="6"/>
      <c r="G9" t="s">
        <v>293</v>
      </c>
      <c r="I9">
        <v>347</v>
      </c>
      <c r="N9">
        <f>I9*0.6</f>
        <v>208.2</v>
      </c>
      <c r="O9">
        <v>177.5</v>
      </c>
      <c r="T9">
        <f>O9*(14/17)*100/N9</f>
        <v>70.209640051986213</v>
      </c>
      <c r="W9" s="6"/>
      <c r="X9" t="s">
        <v>341</v>
      </c>
      <c r="Z9" s="80" t="s">
        <v>300</v>
      </c>
    </row>
    <row r="10" spans="1:41" x14ac:dyDescent="0.3">
      <c r="A10" t="s">
        <v>281</v>
      </c>
      <c r="B10" t="s">
        <v>250</v>
      </c>
      <c r="C10" t="s">
        <v>299</v>
      </c>
      <c r="D10" t="s">
        <v>298</v>
      </c>
      <c r="E10" s="6"/>
      <c r="G10" t="s">
        <v>293</v>
      </c>
      <c r="I10">
        <v>347</v>
      </c>
      <c r="N10">
        <f>I10*0.6</f>
        <v>208.2</v>
      </c>
      <c r="O10">
        <v>12.2</v>
      </c>
      <c r="T10">
        <f>O10*(14/17)*100/N10</f>
        <v>4.8256766683618686</v>
      </c>
      <c r="W10" s="6"/>
      <c r="X10" t="s">
        <v>341</v>
      </c>
      <c r="Z10" s="80" t="s">
        <v>300</v>
      </c>
    </row>
    <row r="11" spans="1:41" x14ac:dyDescent="0.3">
      <c r="A11" t="s">
        <v>152</v>
      </c>
      <c r="B11" t="s">
        <v>150</v>
      </c>
      <c r="C11" t="s">
        <v>155</v>
      </c>
      <c r="D11" t="s">
        <v>103</v>
      </c>
      <c r="E11" s="6">
        <v>6.5091666666666672</v>
      </c>
      <c r="G11">
        <v>1</v>
      </c>
      <c r="H11">
        <v>120</v>
      </c>
      <c r="L11">
        <f>H11*1000/365</f>
        <v>328.76712328767121</v>
      </c>
      <c r="M11">
        <v>0.6</v>
      </c>
      <c r="O11">
        <f>Q11</f>
        <v>12.84</v>
      </c>
      <c r="Q11">
        <f>0.535*24</f>
        <v>12.84</v>
      </c>
      <c r="T11">
        <f>Y11/M11</f>
        <v>6.5091666666666672</v>
      </c>
      <c r="V11">
        <v>1</v>
      </c>
      <c r="W11" s="6">
        <f>T11</f>
        <v>6.5091666666666672</v>
      </c>
      <c r="Y11">
        <f>O11*100/L11</f>
        <v>3.9055000000000004</v>
      </c>
      <c r="Z11" t="s">
        <v>154</v>
      </c>
      <c r="AC11" t="s">
        <v>153</v>
      </c>
    </row>
    <row r="12" spans="1:41" x14ac:dyDescent="0.3">
      <c r="A12" t="s">
        <v>281</v>
      </c>
      <c r="B12" t="s">
        <v>250</v>
      </c>
      <c r="C12" t="s">
        <v>285</v>
      </c>
      <c r="D12" t="s">
        <v>264</v>
      </c>
      <c r="E12" s="6">
        <v>22.901960784313729</v>
      </c>
      <c r="G12" t="s">
        <v>334</v>
      </c>
      <c r="H12">
        <v>126</v>
      </c>
      <c r="Q12">
        <f>24*1.8</f>
        <v>43.2</v>
      </c>
      <c r="T12">
        <f>(Q12*14/17*100)/((H12/0.365)*0.6*0.75)</f>
        <v>22.901960784313729</v>
      </c>
      <c r="V12">
        <v>2</v>
      </c>
      <c r="W12" s="6">
        <f>T12</f>
        <v>22.901960784313729</v>
      </c>
      <c r="Z12" t="s">
        <v>286</v>
      </c>
    </row>
    <row r="13" spans="1:41" x14ac:dyDescent="0.3">
      <c r="A13" t="s">
        <v>281</v>
      </c>
      <c r="B13" t="s">
        <v>250</v>
      </c>
      <c r="C13" t="s">
        <v>285</v>
      </c>
      <c r="D13" t="s">
        <v>264</v>
      </c>
      <c r="E13" s="6">
        <v>52.165577342047932</v>
      </c>
      <c r="G13" t="s">
        <v>334</v>
      </c>
      <c r="H13">
        <v>126</v>
      </c>
      <c r="Q13">
        <f>24*4.1</f>
        <v>98.399999999999991</v>
      </c>
      <c r="T13">
        <f>(Q13*14/17*100)/((H13/0.365)*0.6*0.75)</f>
        <v>52.165577342047932</v>
      </c>
      <c r="V13">
        <v>2</v>
      </c>
      <c r="W13" s="6">
        <f>T13</f>
        <v>52.165577342047932</v>
      </c>
      <c r="Z13" t="s">
        <v>286</v>
      </c>
    </row>
    <row r="14" spans="1:41" x14ac:dyDescent="0.3">
      <c r="A14" t="s">
        <v>281</v>
      </c>
      <c r="B14" t="s">
        <v>250</v>
      </c>
      <c r="C14" t="s">
        <v>285</v>
      </c>
      <c r="D14" t="s">
        <v>291</v>
      </c>
      <c r="E14" s="6">
        <v>43.92523208556149</v>
      </c>
      <c r="G14" t="s">
        <v>336</v>
      </c>
      <c r="H14">
        <v>110</v>
      </c>
      <c r="Q14">
        <v>56.8</v>
      </c>
      <c r="T14">
        <f>(Q14*14/17*100*849/500)/((H14/0.365)*0.6)</f>
        <v>43.92523208556149</v>
      </c>
      <c r="V14">
        <v>6</v>
      </c>
      <c r="W14" s="6">
        <f>T14</f>
        <v>43.92523208556149</v>
      </c>
      <c r="Z14" t="s">
        <v>292</v>
      </c>
    </row>
    <row r="15" spans="1:41" x14ac:dyDescent="0.3">
      <c r="A15" t="s">
        <v>281</v>
      </c>
      <c r="B15" t="s">
        <v>250</v>
      </c>
      <c r="C15" t="s">
        <v>67</v>
      </c>
      <c r="D15" t="s">
        <v>269</v>
      </c>
      <c r="E15" s="6"/>
      <c r="G15" t="s">
        <v>293</v>
      </c>
      <c r="I15">
        <v>470</v>
      </c>
      <c r="N15">
        <f>I15*0.6</f>
        <v>282</v>
      </c>
      <c r="O15">
        <v>6.58</v>
      </c>
      <c r="T15">
        <f>O15*(14/17)*100/N15</f>
        <v>1.9215686274509804</v>
      </c>
      <c r="W15" s="6"/>
      <c r="X15" t="s">
        <v>340</v>
      </c>
      <c r="Z15" t="s">
        <v>294</v>
      </c>
    </row>
    <row r="16" spans="1:41" x14ac:dyDescent="0.3">
      <c r="A16" t="s">
        <v>281</v>
      </c>
      <c r="B16" t="s">
        <v>250</v>
      </c>
      <c r="C16" t="s">
        <v>285</v>
      </c>
      <c r="D16" t="s">
        <v>269</v>
      </c>
      <c r="E16" s="6">
        <v>36.049382716049379</v>
      </c>
      <c r="H16">
        <v>180</v>
      </c>
      <c r="T16">
        <f>(AB16*100)/((H16/0.365)*0.6*0.75)</f>
        <v>36.049382716049379</v>
      </c>
      <c r="V16">
        <v>1</v>
      </c>
      <c r="W16" s="6">
        <f>T16</f>
        <v>36.049382716049379</v>
      </c>
      <c r="Z16" t="s">
        <v>297</v>
      </c>
      <c r="AB16">
        <v>80</v>
      </c>
      <c r="AC16" t="s">
        <v>296</v>
      </c>
    </row>
    <row r="17" spans="1:41" x14ac:dyDescent="0.3">
      <c r="A17" t="s">
        <v>281</v>
      </c>
      <c r="B17" t="s">
        <v>302</v>
      </c>
      <c r="C17" t="s">
        <v>284</v>
      </c>
      <c r="D17" t="s">
        <v>283</v>
      </c>
      <c r="E17" s="6"/>
      <c r="G17" t="s">
        <v>282</v>
      </c>
      <c r="H17">
        <v>175</v>
      </c>
      <c r="Q17">
        <f>24*0.81</f>
        <v>19.440000000000001</v>
      </c>
      <c r="T17">
        <f>(Q17*100)/((H17/0.365)*0.6*0.67)</f>
        <v>10.086140724946695</v>
      </c>
      <c r="W17" s="6"/>
      <c r="X17" t="s">
        <v>338</v>
      </c>
      <c r="Z17" t="s">
        <v>444</v>
      </c>
    </row>
    <row r="18" spans="1:41" x14ac:dyDescent="0.3">
      <c r="A18" t="s">
        <v>281</v>
      </c>
      <c r="B18" t="s">
        <v>250</v>
      </c>
      <c r="C18" t="s">
        <v>284</v>
      </c>
      <c r="D18" t="s">
        <v>291</v>
      </c>
      <c r="E18" s="6">
        <v>9.5321083778966109</v>
      </c>
      <c r="G18" t="s">
        <v>336</v>
      </c>
      <c r="H18">
        <v>110</v>
      </c>
      <c r="Q18">
        <v>12.7</v>
      </c>
      <c r="T18">
        <f>(Q18*14/17*100*824/500)/((H18/0.365)*0.6)</f>
        <v>9.5321083778966109</v>
      </c>
      <c r="V18">
        <v>6</v>
      </c>
      <c r="W18" s="6">
        <f>T18</f>
        <v>9.5321083778966109</v>
      </c>
      <c r="Z18" t="s">
        <v>292</v>
      </c>
    </row>
    <row r="19" spans="1:41" x14ac:dyDescent="0.3">
      <c r="A19" t="s">
        <v>281</v>
      </c>
      <c r="B19" t="s">
        <v>303</v>
      </c>
      <c r="C19" t="s">
        <v>68</v>
      </c>
      <c r="D19" t="s">
        <v>269</v>
      </c>
      <c r="E19" s="6"/>
      <c r="G19" t="s">
        <v>293</v>
      </c>
      <c r="I19">
        <v>470</v>
      </c>
      <c r="N19">
        <f>I19*0.6</f>
        <v>282</v>
      </c>
      <c r="O19">
        <v>4.67</v>
      </c>
      <c r="T19">
        <f>O19*(14/17)*100/N19</f>
        <v>1.3637880684188568</v>
      </c>
      <c r="W19" s="6"/>
      <c r="X19" t="s">
        <v>340</v>
      </c>
      <c r="Z19" t="s">
        <v>294</v>
      </c>
    </row>
    <row r="20" spans="1:41" x14ac:dyDescent="0.3">
      <c r="A20" t="s">
        <v>281</v>
      </c>
      <c r="B20" t="s">
        <v>250</v>
      </c>
      <c r="C20" t="s">
        <v>284</v>
      </c>
      <c r="D20" t="s">
        <v>283</v>
      </c>
      <c r="E20" s="6">
        <v>10</v>
      </c>
      <c r="G20" t="s">
        <v>82</v>
      </c>
      <c r="H20">
        <v>130</v>
      </c>
      <c r="T20">
        <f>Y20/0.6</f>
        <v>10</v>
      </c>
      <c r="V20">
        <v>1</v>
      </c>
      <c r="W20" s="6">
        <f>T20</f>
        <v>10</v>
      </c>
      <c r="Y20">
        <v>6</v>
      </c>
      <c r="Z20" t="s">
        <v>295</v>
      </c>
      <c r="AB20" t="s">
        <v>307</v>
      </c>
    </row>
    <row r="21" spans="1:41" x14ac:dyDescent="0.3">
      <c r="A21" t="s">
        <v>281</v>
      </c>
      <c r="B21" t="s">
        <v>250</v>
      </c>
      <c r="C21" t="s">
        <v>284</v>
      </c>
      <c r="D21" t="s">
        <v>269</v>
      </c>
      <c r="E21" s="6">
        <v>4.5061728395061724</v>
      </c>
      <c r="H21">
        <v>180</v>
      </c>
      <c r="T21">
        <f>(AB21*100)/((H21/0.365)*0.6*0.75)</f>
        <v>4.5061728395061724</v>
      </c>
      <c r="V21">
        <v>1</v>
      </c>
      <c r="W21" s="6">
        <f>T21</f>
        <v>4.5061728395061724</v>
      </c>
      <c r="Z21" t="s">
        <v>297</v>
      </c>
      <c r="AB21">
        <v>10</v>
      </c>
      <c r="AC21" t="s">
        <v>296</v>
      </c>
    </row>
    <row r="22" spans="1:41" x14ac:dyDescent="0.3">
      <c r="A22" t="s">
        <v>48</v>
      </c>
      <c r="B22" t="s">
        <v>150</v>
      </c>
      <c r="C22" t="s">
        <v>149</v>
      </c>
      <c r="D22" t="s">
        <v>147</v>
      </c>
      <c r="E22" s="6">
        <v>26.555905511811023</v>
      </c>
      <c r="F22">
        <v>1</v>
      </c>
      <c r="H22">
        <v>127</v>
      </c>
      <c r="L22">
        <f>H22*1000/365</f>
        <v>347.94520547945206</v>
      </c>
      <c r="M22">
        <v>0.6</v>
      </c>
      <c r="O22">
        <f>Q22</f>
        <v>55.439999999999991</v>
      </c>
      <c r="Q22">
        <f>(1.62+1.68+3.56+2.38)/4*24</f>
        <v>55.439999999999991</v>
      </c>
      <c r="T22">
        <f>Y22/M22</f>
        <v>26.555905511811023</v>
      </c>
      <c r="V22">
        <v>4</v>
      </c>
      <c r="W22" s="6">
        <f>T22</f>
        <v>26.555905511811023</v>
      </c>
      <c r="Y22">
        <f>O22*100/L22</f>
        <v>15.933543307086612</v>
      </c>
      <c r="Z22" t="s">
        <v>151</v>
      </c>
      <c r="AC22" t="s">
        <v>235</v>
      </c>
    </row>
    <row r="23" spans="1:41" x14ac:dyDescent="0.3">
      <c r="A23" t="s">
        <v>48</v>
      </c>
      <c r="B23" t="s">
        <v>128</v>
      </c>
      <c r="C23" t="s">
        <v>129</v>
      </c>
      <c r="D23" t="s">
        <v>115</v>
      </c>
      <c r="E23" s="6"/>
      <c r="G23">
        <v>1</v>
      </c>
      <c r="H23">
        <v>138</v>
      </c>
      <c r="L23">
        <f>H23*1000/365</f>
        <v>378.08219178082192</v>
      </c>
      <c r="M23">
        <v>0.6</v>
      </c>
      <c r="R23">
        <v>11.13</v>
      </c>
      <c r="W23" s="6"/>
      <c r="Z23" t="s">
        <v>130</v>
      </c>
      <c r="AB23" t="s">
        <v>234</v>
      </c>
    </row>
    <row r="24" spans="1:41" x14ac:dyDescent="0.3">
      <c r="A24" t="s">
        <v>48</v>
      </c>
      <c r="B24" t="s">
        <v>161</v>
      </c>
      <c r="C24" t="s">
        <v>163</v>
      </c>
      <c r="D24" t="s">
        <v>126</v>
      </c>
      <c r="E24" s="6"/>
      <c r="K24">
        <v>400</v>
      </c>
      <c r="M24">
        <v>0.6</v>
      </c>
      <c r="O24">
        <f>0.98*24</f>
        <v>23.52</v>
      </c>
      <c r="Q24">
        <v>0.81</v>
      </c>
      <c r="W24" s="6"/>
      <c r="X24" t="s">
        <v>342</v>
      </c>
      <c r="Y24">
        <v>4</v>
      </c>
      <c r="Z24" t="s">
        <v>164</v>
      </c>
    </row>
    <row r="25" spans="1:41" x14ac:dyDescent="0.3">
      <c r="A25" t="s">
        <v>48</v>
      </c>
      <c r="B25" t="s">
        <v>150</v>
      </c>
      <c r="C25" t="s">
        <v>166</v>
      </c>
      <c r="D25" t="s">
        <v>126</v>
      </c>
      <c r="E25" s="6">
        <v>9.3333333333333339</v>
      </c>
      <c r="F25">
        <v>1</v>
      </c>
      <c r="M25">
        <v>0.6</v>
      </c>
      <c r="Q25">
        <f>1.01*24</f>
        <v>24.240000000000002</v>
      </c>
      <c r="T25">
        <f t="shared" ref="T25:T30" si="0">Y25/M25</f>
        <v>9.3333333333333339</v>
      </c>
      <c r="V25">
        <v>1</v>
      </c>
      <c r="W25" s="6">
        <f t="shared" ref="W25:W30" si="1">T25</f>
        <v>9.3333333333333339</v>
      </c>
      <c r="Y25">
        <v>5.6</v>
      </c>
      <c r="Z25" t="s">
        <v>165</v>
      </c>
    </row>
    <row r="26" spans="1:41" x14ac:dyDescent="0.3">
      <c r="A26" t="s">
        <v>48</v>
      </c>
      <c r="B26" t="s">
        <v>171</v>
      </c>
      <c r="C26" t="s">
        <v>173</v>
      </c>
      <c r="D26" t="s">
        <v>172</v>
      </c>
      <c r="E26" s="6">
        <v>16.020181818181818</v>
      </c>
      <c r="F26">
        <v>1</v>
      </c>
      <c r="H26">
        <v>110</v>
      </c>
      <c r="L26">
        <f>H26*1000/365</f>
        <v>301.36986301369865</v>
      </c>
      <c r="M26">
        <v>0.6</v>
      </c>
      <c r="O26">
        <f>1388.25*24/1000</f>
        <v>33.317999999999998</v>
      </c>
      <c r="Q26">
        <f>1207*24/1000</f>
        <v>28.968</v>
      </c>
      <c r="T26">
        <f t="shared" si="0"/>
        <v>16.020181818181818</v>
      </c>
      <c r="V26">
        <v>4</v>
      </c>
      <c r="W26" s="6">
        <f t="shared" si="1"/>
        <v>16.020181818181818</v>
      </c>
      <c r="Y26">
        <f>Q26*100/L26</f>
        <v>9.6121090909090903</v>
      </c>
      <c r="Z26" t="s">
        <v>181</v>
      </c>
    </row>
    <row r="27" spans="1:41" x14ac:dyDescent="0.3">
      <c r="A27" t="s">
        <v>48</v>
      </c>
      <c r="B27" t="s">
        <v>50</v>
      </c>
      <c r="D27" t="s">
        <v>108</v>
      </c>
      <c r="E27" s="6">
        <v>20.277777777777782</v>
      </c>
      <c r="H27">
        <v>87</v>
      </c>
      <c r="L27">
        <f>H27*1000/365</f>
        <v>238.35616438356163</v>
      </c>
      <c r="M27">
        <v>0.6</v>
      </c>
      <c r="O27">
        <v>29</v>
      </c>
      <c r="T27">
        <f t="shared" si="0"/>
        <v>20.277777777777782</v>
      </c>
      <c r="V27">
        <v>1</v>
      </c>
      <c r="W27" s="6">
        <f t="shared" si="1"/>
        <v>20.277777777777782</v>
      </c>
      <c r="Y27">
        <f>O27*100/L27</f>
        <v>12.166666666666668</v>
      </c>
      <c r="Z27" t="s">
        <v>238</v>
      </c>
      <c r="AB27" t="s">
        <v>239</v>
      </c>
    </row>
    <row r="28" spans="1:41" x14ac:dyDescent="0.3">
      <c r="A28" t="s">
        <v>48</v>
      </c>
      <c r="B28" t="s">
        <v>51</v>
      </c>
      <c r="D28" t="s">
        <v>108</v>
      </c>
      <c r="E28" s="6">
        <v>11.88697318007663</v>
      </c>
      <c r="H28">
        <v>87</v>
      </c>
      <c r="L28">
        <f>H28*1000/365</f>
        <v>238.35616438356163</v>
      </c>
      <c r="M28">
        <v>0.6</v>
      </c>
      <c r="O28">
        <v>17</v>
      </c>
      <c r="T28">
        <f t="shared" si="0"/>
        <v>11.88697318007663</v>
      </c>
      <c r="V28">
        <v>1</v>
      </c>
      <c r="W28" s="6">
        <f t="shared" si="1"/>
        <v>11.88697318007663</v>
      </c>
      <c r="Y28">
        <f>O28*100/L28</f>
        <v>7.1321839080459775</v>
      </c>
      <c r="Z28" t="s">
        <v>52</v>
      </c>
    </row>
    <row r="29" spans="1:41" x14ac:dyDescent="0.3">
      <c r="A29" t="s">
        <v>48</v>
      </c>
      <c r="B29" t="s">
        <v>84</v>
      </c>
      <c r="D29" t="s">
        <v>90</v>
      </c>
      <c r="E29" s="6">
        <v>46.349206349206355</v>
      </c>
      <c r="G29">
        <f>500/525</f>
        <v>0.95238095238095233</v>
      </c>
      <c r="H29">
        <v>110</v>
      </c>
      <c r="L29">
        <f>H29*1000/365</f>
        <v>301.36986301369865</v>
      </c>
      <c r="M29">
        <v>0.6</v>
      </c>
      <c r="O29">
        <f>Q29*G29/1</f>
        <v>83.80952380952381</v>
      </c>
      <c r="Q29">
        <v>88</v>
      </c>
      <c r="T29">
        <f t="shared" si="0"/>
        <v>46.349206349206355</v>
      </c>
      <c r="V29">
        <v>1</v>
      </c>
      <c r="W29" s="6">
        <f t="shared" si="1"/>
        <v>46.349206349206355</v>
      </c>
      <c r="Y29">
        <f>O29*100/L29</f>
        <v>27.80952380952381</v>
      </c>
      <c r="Z29" t="s">
        <v>85</v>
      </c>
    </row>
    <row r="30" spans="1:41" s="53" customFormat="1" x14ac:dyDescent="0.3">
      <c r="A30" t="s">
        <v>48</v>
      </c>
      <c r="B30"/>
      <c r="C30" t="s">
        <v>368</v>
      </c>
      <c r="D30" t="s">
        <v>369</v>
      </c>
      <c r="E30" s="6">
        <v>12.305611899932385</v>
      </c>
      <c r="F30"/>
      <c r="G30">
        <f>600/500</f>
        <v>1.2</v>
      </c>
      <c r="H30">
        <v>87</v>
      </c>
      <c r="I30"/>
      <c r="J30"/>
      <c r="K30"/>
      <c r="L30">
        <f>H30*1000/365</f>
        <v>238.35616438356163</v>
      </c>
      <c r="M30">
        <v>0.6</v>
      </c>
      <c r="N30"/>
      <c r="O30">
        <f>Q30*G30/1</f>
        <v>17.598710717163577</v>
      </c>
      <c r="P30"/>
      <c r="Q30">
        <f>6.5*14/17*1000/365</f>
        <v>14.665592264302981</v>
      </c>
      <c r="R30"/>
      <c r="S30"/>
      <c r="T30">
        <f t="shared" si="0"/>
        <v>12.305611899932385</v>
      </c>
      <c r="U30"/>
      <c r="V30">
        <v>1</v>
      </c>
      <c r="W30" s="6">
        <f t="shared" si="1"/>
        <v>12.305611899932385</v>
      </c>
      <c r="X30"/>
      <c r="Y30">
        <f>O30*100/L30</f>
        <v>7.3833671399594314</v>
      </c>
      <c r="Z30" s="80" t="s">
        <v>367</v>
      </c>
      <c r="AA30"/>
      <c r="AB30"/>
      <c r="AC30"/>
      <c r="AD30"/>
      <c r="AE30"/>
      <c r="AF30"/>
      <c r="AG30"/>
      <c r="AH30"/>
      <c r="AI30"/>
      <c r="AJ30"/>
      <c r="AK30"/>
      <c r="AL30"/>
      <c r="AM30"/>
      <c r="AN30"/>
      <c r="AO30"/>
    </row>
    <row r="31" spans="1:41" x14ac:dyDescent="0.3">
      <c r="A31" t="s">
        <v>48</v>
      </c>
      <c r="B31" t="s">
        <v>250</v>
      </c>
      <c r="D31" t="s">
        <v>287</v>
      </c>
      <c r="E31" s="6"/>
      <c r="G31" t="s">
        <v>82</v>
      </c>
      <c r="W31" s="6"/>
      <c r="X31" t="s">
        <v>339</v>
      </c>
      <c r="Y31">
        <v>27</v>
      </c>
      <c r="Z31" t="s">
        <v>288</v>
      </c>
    </row>
    <row r="32" spans="1:41" ht="15" thickBot="1" x14ac:dyDescent="0.35">
      <c r="A32" t="s">
        <v>48</v>
      </c>
      <c r="B32" t="s">
        <v>250</v>
      </c>
      <c r="D32" t="s">
        <v>287</v>
      </c>
      <c r="E32" s="6"/>
      <c r="G32" t="s">
        <v>82</v>
      </c>
      <c r="W32" s="6"/>
      <c r="X32" t="s">
        <v>339</v>
      </c>
      <c r="Y32">
        <v>66</v>
      </c>
      <c r="Z32" t="s">
        <v>288</v>
      </c>
    </row>
    <row r="33" spans="1:28" x14ac:dyDescent="0.3">
      <c r="A33" s="36" t="s">
        <v>48</v>
      </c>
      <c r="B33" s="37" t="s">
        <v>250</v>
      </c>
      <c r="C33" s="37" t="s">
        <v>353</v>
      </c>
      <c r="D33" s="44"/>
      <c r="E33" s="40">
        <v>17.190393939393935</v>
      </c>
      <c r="U33" t="s">
        <v>382</v>
      </c>
      <c r="W33" s="6">
        <f>MEDIAN(W3:W32)</f>
        <v>17.190393939393935</v>
      </c>
    </row>
    <row r="34" spans="1:28" x14ac:dyDescent="0.3">
      <c r="A34" s="46" t="s">
        <v>48</v>
      </c>
      <c r="B34" s="43" t="s">
        <v>250</v>
      </c>
      <c r="C34" s="43" t="s">
        <v>354</v>
      </c>
      <c r="D34" s="47"/>
      <c r="E34" s="52">
        <v>21.667449796435456</v>
      </c>
      <c r="U34" t="s">
        <v>383</v>
      </c>
      <c r="W34" s="6">
        <f>AVERAGE(W3:W32)</f>
        <v>21.667449796435456</v>
      </c>
    </row>
    <row r="35" spans="1:28" ht="15" thickBot="1" x14ac:dyDescent="0.35">
      <c r="A35" s="38" t="s">
        <v>48</v>
      </c>
      <c r="B35" s="39" t="s">
        <v>250</v>
      </c>
      <c r="C35" s="39" t="s">
        <v>210</v>
      </c>
      <c r="D35" s="45"/>
      <c r="E35" s="41">
        <v>15.176437535962886</v>
      </c>
      <c r="U35" t="s">
        <v>384</v>
      </c>
      <c r="W35" s="6">
        <f>STDEV(W3:W32)</f>
        <v>15.176437535962886</v>
      </c>
    </row>
    <row r="36" spans="1:28" ht="15" thickBot="1" x14ac:dyDescent="0.35">
      <c r="A36" s="38" t="s">
        <v>48</v>
      </c>
      <c r="B36" s="39" t="s">
        <v>250</v>
      </c>
      <c r="C36" s="39" t="s">
        <v>366</v>
      </c>
      <c r="D36" s="45"/>
      <c r="E36" s="41">
        <v>19.374300385742586</v>
      </c>
      <c r="U36" t="s">
        <v>388</v>
      </c>
      <c r="V36">
        <f>SUM(V3:V32,V54,V56)</f>
        <v>45</v>
      </c>
      <c r="W36" s="6">
        <f>((W3*V3)+(W11*V11)+(W12*V12)+(W13*V13)+(W14*V14)+(W16*V16)+(W18*V18)+(W20*V20)+(W21*V21)+(W22*V22)+(W25*V25)+(W26*V26)+(W27*V27)+(W28*V28)+(W29*V29)+(W30*V30))/V36</f>
        <v>19.374300385742586</v>
      </c>
    </row>
    <row r="37" spans="1:28" x14ac:dyDescent="0.3">
      <c r="W37" s="6"/>
    </row>
    <row r="38" spans="1:28" x14ac:dyDescent="0.3">
      <c r="A38" t="s">
        <v>390</v>
      </c>
      <c r="E38" s="6"/>
      <c r="W38" s="6"/>
      <c r="X38">
        <v>20</v>
      </c>
    </row>
    <row r="39" spans="1:28" x14ac:dyDescent="0.3">
      <c r="A39" t="s">
        <v>48</v>
      </c>
      <c r="B39" t="s">
        <v>360</v>
      </c>
      <c r="C39" t="s">
        <v>357</v>
      </c>
      <c r="E39" s="6">
        <v>12.657950313454826</v>
      </c>
      <c r="U39" t="s">
        <v>385</v>
      </c>
      <c r="W39" s="6">
        <f>AVERAGE(W17:W26)</f>
        <v>12.657950313454826</v>
      </c>
    </row>
    <row r="40" spans="1:28" ht="15" thickBot="1" x14ac:dyDescent="0.35">
      <c r="A40" t="s">
        <v>48</v>
      </c>
      <c r="B40" t="s">
        <v>360</v>
      </c>
      <c r="C40" t="s">
        <v>358</v>
      </c>
      <c r="E40" s="6">
        <v>38.760538231993131</v>
      </c>
      <c r="U40" t="s">
        <v>386</v>
      </c>
      <c r="W40" s="6">
        <f>AVERAGE(W12:W16)</f>
        <v>38.760538231993131</v>
      </c>
    </row>
    <row r="41" spans="1:28" ht="15" thickBot="1" x14ac:dyDescent="0.35">
      <c r="A41" s="59" t="s">
        <v>48</v>
      </c>
      <c r="B41" s="61" t="s">
        <v>360</v>
      </c>
      <c r="C41" s="61" t="s">
        <v>359</v>
      </c>
      <c r="D41" s="62"/>
      <c r="E41" s="63">
        <v>19.183597293089402</v>
      </c>
      <c r="U41" t="s">
        <v>387</v>
      </c>
      <c r="W41" s="6">
        <f>((W39*3)+((W39/2)+(W40/2))*3)/6</f>
        <v>19.183597293089402</v>
      </c>
    </row>
    <row r="42" spans="1:28" x14ac:dyDescent="0.3">
      <c r="E42" s="6"/>
      <c r="W42" s="6"/>
    </row>
    <row r="43" spans="1:28" x14ac:dyDescent="0.3">
      <c r="A43" t="s">
        <v>48</v>
      </c>
      <c r="B43" t="s">
        <v>49</v>
      </c>
      <c r="D43" t="s">
        <v>108</v>
      </c>
      <c r="E43" s="6">
        <v>20.277777777777782</v>
      </c>
      <c r="H43">
        <v>87</v>
      </c>
      <c r="L43">
        <f>H43*1000/365</f>
        <v>238.35616438356163</v>
      </c>
      <c r="M43">
        <v>0.6</v>
      </c>
      <c r="O43">
        <v>29</v>
      </c>
      <c r="T43">
        <f>Y43/M43</f>
        <v>20.277777777777782</v>
      </c>
      <c r="V43">
        <v>1</v>
      </c>
      <c r="W43" s="6">
        <f t="shared" ref="W43:W46" si="2">T43</f>
        <v>20.277777777777782</v>
      </c>
      <c r="Y43">
        <f>O43*100/L43</f>
        <v>12.166666666666668</v>
      </c>
      <c r="Z43" t="s">
        <v>238</v>
      </c>
      <c r="AB43" t="s">
        <v>239</v>
      </c>
    </row>
    <row r="44" spans="1:28" x14ac:dyDescent="0.3">
      <c r="A44" t="s">
        <v>48</v>
      </c>
      <c r="B44" t="s">
        <v>170</v>
      </c>
      <c r="C44" t="s">
        <v>68</v>
      </c>
      <c r="D44" t="s">
        <v>126</v>
      </c>
      <c r="E44" s="6">
        <v>9.1666666666666679</v>
      </c>
      <c r="H44">
        <v>126</v>
      </c>
      <c r="M44">
        <v>0.6</v>
      </c>
      <c r="O44">
        <v>24</v>
      </c>
      <c r="T44">
        <f>Y44/M44</f>
        <v>9.1666666666666679</v>
      </c>
      <c r="V44">
        <v>1</v>
      </c>
      <c r="W44" s="6">
        <f t="shared" si="2"/>
        <v>9.1666666666666679</v>
      </c>
      <c r="Y44">
        <v>5.5</v>
      </c>
      <c r="Z44" t="s">
        <v>169</v>
      </c>
    </row>
    <row r="45" spans="1:28" x14ac:dyDescent="0.3">
      <c r="A45" t="s">
        <v>48</v>
      </c>
      <c r="B45" t="s">
        <v>49</v>
      </c>
      <c r="D45" t="s">
        <v>188</v>
      </c>
      <c r="E45" s="6">
        <v>3.6374570446735395</v>
      </c>
      <c r="F45">
        <v>1</v>
      </c>
      <c r="H45">
        <v>97</v>
      </c>
      <c r="L45">
        <f>H45*1000/365</f>
        <v>265.75342465753425</v>
      </c>
      <c r="M45">
        <v>0.6</v>
      </c>
      <c r="O45">
        <f>Q45*F45</f>
        <v>5.8</v>
      </c>
      <c r="Q45">
        <v>5.8</v>
      </c>
      <c r="T45">
        <f>Y45/M45</f>
        <v>3.6374570446735395</v>
      </c>
      <c r="V45">
        <v>1</v>
      </c>
      <c r="W45" s="6">
        <f t="shared" si="2"/>
        <v>3.6374570446735395</v>
      </c>
      <c r="Y45">
        <f>O45*100/L45</f>
        <v>2.1824742268041235</v>
      </c>
      <c r="Z45" t="s">
        <v>229</v>
      </c>
    </row>
    <row r="46" spans="1:28" ht="15" thickBot="1" x14ac:dyDescent="0.35">
      <c r="A46" t="s">
        <v>48</v>
      </c>
      <c r="B46" t="s">
        <v>49</v>
      </c>
      <c r="D46" t="s">
        <v>147</v>
      </c>
      <c r="E46" s="6">
        <v>3.196054292929293</v>
      </c>
      <c r="F46">
        <v>1</v>
      </c>
      <c r="H46">
        <v>132</v>
      </c>
      <c r="L46">
        <f>H46*1000/365</f>
        <v>361.64383561643837</v>
      </c>
      <c r="M46">
        <v>0.6</v>
      </c>
      <c r="O46">
        <f>Q46</f>
        <v>6.9350000000000005</v>
      </c>
      <c r="Q46">
        <f>(3.79+10.08)/2</f>
        <v>6.9350000000000005</v>
      </c>
      <c r="T46">
        <f>Y46/M46</f>
        <v>3.196054292929293</v>
      </c>
      <c r="V46">
        <v>1</v>
      </c>
      <c r="W46" s="6">
        <f t="shared" si="2"/>
        <v>3.196054292929293</v>
      </c>
      <c r="Y46">
        <f>Q46*100/L46</f>
        <v>1.9176325757575756</v>
      </c>
      <c r="Z46" t="s">
        <v>237</v>
      </c>
      <c r="AB46" t="s">
        <v>236</v>
      </c>
    </row>
    <row r="47" spans="1:28" x14ac:dyDescent="0.3">
      <c r="A47" s="36" t="s">
        <v>48</v>
      </c>
      <c r="B47" s="37" t="s">
        <v>49</v>
      </c>
      <c r="C47" s="37" t="s">
        <v>353</v>
      </c>
      <c r="D47" s="44"/>
      <c r="E47" s="40">
        <v>6.4020618556701034</v>
      </c>
      <c r="T47">
        <f>AVERAGE(T43:T46)</f>
        <v>9.0694889455118197</v>
      </c>
      <c r="W47" s="6">
        <f>MEDIAN(W43:W46)</f>
        <v>6.4020618556701034</v>
      </c>
      <c r="X47">
        <v>6.6</v>
      </c>
    </row>
    <row r="48" spans="1:28" x14ac:dyDescent="0.3">
      <c r="A48" s="46" t="s">
        <v>48</v>
      </c>
      <c r="B48" s="43" t="s">
        <v>49</v>
      </c>
      <c r="C48" s="43" t="s">
        <v>354</v>
      </c>
      <c r="D48" s="47"/>
      <c r="E48" s="52">
        <v>9.0694889455118197</v>
      </c>
      <c r="W48" s="6">
        <f>AVERAGE(W43:W46)</f>
        <v>9.0694889455118197</v>
      </c>
    </row>
    <row r="49" spans="1:26" ht="15" thickBot="1" x14ac:dyDescent="0.35">
      <c r="A49" s="38" t="s">
        <v>48</v>
      </c>
      <c r="B49" s="39" t="s">
        <v>49</v>
      </c>
      <c r="C49" s="39" t="s">
        <v>210</v>
      </c>
      <c r="D49" s="45"/>
      <c r="E49" s="41">
        <v>7.9506684676377759</v>
      </c>
      <c r="T49">
        <f>STDEV(T43:T46)</f>
        <v>7.9506684676377759</v>
      </c>
      <c r="W49" s="6">
        <f>STDEV(W43:W46)</f>
        <v>7.9506684676377759</v>
      </c>
    </row>
    <row r="50" spans="1:26" ht="15" thickBot="1" x14ac:dyDescent="0.35">
      <c r="A50" s="38" t="s">
        <v>48</v>
      </c>
      <c r="B50" s="39" t="s">
        <v>49</v>
      </c>
      <c r="C50" s="39" t="s">
        <v>366</v>
      </c>
      <c r="D50" s="45"/>
      <c r="E50" s="41">
        <v>9.0694889455118197</v>
      </c>
      <c r="V50">
        <f>SUM(V43:V46)</f>
        <v>4</v>
      </c>
      <c r="W50" s="6">
        <f>((V43*W43)+(V44*W44)+(V45*W45)+V46*W46)/V50</f>
        <v>9.0694889455118197</v>
      </c>
    </row>
    <row r="51" spans="1:26" x14ac:dyDescent="0.3">
      <c r="E51" s="6"/>
      <c r="W51" s="6"/>
    </row>
    <row r="52" spans="1:26" ht="15" thickBot="1" x14ac:dyDescent="0.35">
      <c r="E52" s="6"/>
      <c r="W52" s="6"/>
    </row>
    <row r="53" spans="1:26" ht="15" thickBot="1" x14ac:dyDescent="0.35">
      <c r="A53" s="56" t="s">
        <v>389</v>
      </c>
      <c r="B53" s="57"/>
      <c r="C53" s="57"/>
      <c r="D53" s="57"/>
      <c r="E53" s="64"/>
      <c r="F53" s="57"/>
      <c r="G53" s="57"/>
      <c r="H53" s="57"/>
      <c r="I53" s="57"/>
      <c r="J53" s="57"/>
      <c r="K53" s="57"/>
      <c r="L53" s="57"/>
      <c r="M53" s="57"/>
      <c r="N53" s="57"/>
      <c r="O53" s="57"/>
      <c r="P53" s="57"/>
      <c r="Q53" s="57"/>
      <c r="R53" s="57"/>
      <c r="S53" s="57"/>
      <c r="T53" s="58"/>
      <c r="W53" s="6"/>
    </row>
    <row r="54" spans="1:26" x14ac:dyDescent="0.3">
      <c r="A54" t="s">
        <v>177</v>
      </c>
      <c r="B54" t="s">
        <v>128</v>
      </c>
      <c r="C54" t="s">
        <v>173</v>
      </c>
      <c r="D54" t="s">
        <v>172</v>
      </c>
      <c r="E54" s="6">
        <v>17.228000000000002</v>
      </c>
      <c r="H54">
        <v>60</v>
      </c>
      <c r="L54">
        <f>H54*1000/365</f>
        <v>164.38356164383561</v>
      </c>
      <c r="M54">
        <v>0.6</v>
      </c>
      <c r="O54">
        <f>537.333333333333*24/1000</f>
        <v>12.895999999999992</v>
      </c>
      <c r="Q54">
        <f>708*24/1000</f>
        <v>16.992000000000001</v>
      </c>
      <c r="T54">
        <f>Y54/M54</f>
        <v>17.228000000000002</v>
      </c>
      <c r="V54">
        <v>4</v>
      </c>
      <c r="W54" s="6">
        <f t="shared" ref="W54" si="3">T54</f>
        <v>17.228000000000002</v>
      </c>
      <c r="X54">
        <v>20</v>
      </c>
      <c r="Y54">
        <f>Q54*100/L54</f>
        <v>10.3368</v>
      </c>
      <c r="Z54" t="s">
        <v>181</v>
      </c>
    </row>
    <row r="55" spans="1:26" x14ac:dyDescent="0.3">
      <c r="E55" s="6"/>
      <c r="W55" s="6"/>
    </row>
    <row r="56" spans="1:26" x14ac:dyDescent="0.3">
      <c r="A56" t="s">
        <v>176</v>
      </c>
      <c r="B56" t="s">
        <v>128</v>
      </c>
      <c r="C56" t="s">
        <v>173</v>
      </c>
      <c r="D56" t="s">
        <v>172</v>
      </c>
      <c r="E56" s="6">
        <v>35.830833333333338</v>
      </c>
      <c r="H56">
        <v>60</v>
      </c>
      <c r="L56">
        <f>H56*1000/365</f>
        <v>164.38356164383561</v>
      </c>
      <c r="M56">
        <v>0.6</v>
      </c>
      <c r="O56">
        <f>422.5*24/1000</f>
        <v>10.14</v>
      </c>
      <c r="Q56">
        <f>1472.5*24/1000</f>
        <v>35.340000000000003</v>
      </c>
      <c r="T56">
        <f>Y56/M56</f>
        <v>35.830833333333338</v>
      </c>
      <c r="V56">
        <v>4</v>
      </c>
      <c r="W56" s="6">
        <f t="shared" ref="W56" si="4">T56</f>
        <v>35.830833333333338</v>
      </c>
      <c r="X56">
        <v>20</v>
      </c>
      <c r="Y56">
        <f>Q56*100/L56</f>
        <v>21.498500000000003</v>
      </c>
      <c r="Z56" t="s">
        <v>181</v>
      </c>
    </row>
    <row r="58" spans="1:26" x14ac:dyDescent="0.3">
      <c r="Z58" t="s">
        <v>374</v>
      </c>
    </row>
  </sheetData>
  <sortState ref="A3:AF32">
    <sortCondition ref="D3:D32"/>
  </sortState>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63"/>
  <sheetViews>
    <sheetView zoomScaleNormal="100" workbookViewId="0">
      <pane xSplit="4" ySplit="3" topLeftCell="N19" activePane="bottomRight" state="frozen"/>
      <selection pane="topRight" activeCell="E1" sqref="E1"/>
      <selection pane="bottomLeft" activeCell="A4" sqref="A4"/>
      <selection pane="bottomRight" activeCell="V28" sqref="V28"/>
    </sheetView>
  </sheetViews>
  <sheetFormatPr defaultRowHeight="14.4" x14ac:dyDescent="0.3"/>
  <cols>
    <col min="1" max="1" width="15" customWidth="1"/>
    <col min="2" max="2" width="8.33203125" customWidth="1"/>
    <col min="4" max="4" width="10.33203125" customWidth="1"/>
    <col min="5" max="5" width="15.33203125" customWidth="1"/>
    <col min="6" max="6" width="17.44140625" customWidth="1"/>
    <col min="7" max="7" width="15.33203125" customWidth="1"/>
    <col min="9" max="10" width="11.6640625" customWidth="1"/>
    <col min="16" max="16" width="8.6640625" style="53"/>
    <col min="17" max="17" width="17.44140625" customWidth="1"/>
    <col min="19" max="19" width="12.109375" style="7" customWidth="1"/>
    <col min="21" max="21" width="12.109375" customWidth="1"/>
    <col min="22" max="22" width="21.6640625" style="53" customWidth="1"/>
  </cols>
  <sheetData>
    <row r="1" spans="1:22" x14ac:dyDescent="0.3">
      <c r="F1" t="s">
        <v>344</v>
      </c>
      <c r="J1" t="s">
        <v>226</v>
      </c>
      <c r="N1" t="s">
        <v>344</v>
      </c>
      <c r="O1" t="s">
        <v>344</v>
      </c>
      <c r="P1"/>
      <c r="Q1" t="s">
        <v>344</v>
      </c>
      <c r="S1"/>
      <c r="V1" t="s">
        <v>391</v>
      </c>
    </row>
    <row r="2" spans="1:22" x14ac:dyDescent="0.3">
      <c r="A2" t="s">
        <v>392</v>
      </c>
      <c r="B2" t="s">
        <v>14</v>
      </c>
      <c r="C2" t="s">
        <v>3</v>
      </c>
      <c r="D2" t="s">
        <v>111</v>
      </c>
      <c r="E2" t="s">
        <v>244</v>
      </c>
      <c r="F2" t="s">
        <v>337</v>
      </c>
      <c r="G2" t="s">
        <v>228</v>
      </c>
      <c r="H2" t="s">
        <v>112</v>
      </c>
      <c r="I2" t="s">
        <v>13</v>
      </c>
      <c r="J2" t="s">
        <v>58</v>
      </c>
      <c r="K2" t="s">
        <v>199</v>
      </c>
      <c r="L2" t="s">
        <v>121</v>
      </c>
      <c r="N2" t="s">
        <v>8</v>
      </c>
      <c r="O2" t="s">
        <v>10</v>
      </c>
      <c r="P2" t="s">
        <v>365</v>
      </c>
      <c r="Q2" t="s">
        <v>337</v>
      </c>
      <c r="R2" t="s">
        <v>343</v>
      </c>
      <c r="S2" t="s">
        <v>240</v>
      </c>
      <c r="T2" t="s">
        <v>11</v>
      </c>
      <c r="U2" t="s">
        <v>17</v>
      </c>
      <c r="V2"/>
    </row>
    <row r="3" spans="1:22" x14ac:dyDescent="0.3">
      <c r="E3" t="s">
        <v>145</v>
      </c>
      <c r="F3" t="s">
        <v>241</v>
      </c>
      <c r="K3" t="s">
        <v>198</v>
      </c>
      <c r="L3" t="s">
        <v>80</v>
      </c>
      <c r="M3" t="s">
        <v>143</v>
      </c>
      <c r="N3" t="s">
        <v>57</v>
      </c>
      <c r="P3"/>
      <c r="Q3" t="s">
        <v>241</v>
      </c>
      <c r="S3" t="s">
        <v>241</v>
      </c>
      <c r="V3"/>
    </row>
    <row r="4" spans="1:22" x14ac:dyDescent="0.3">
      <c r="A4" t="s">
        <v>83</v>
      </c>
      <c r="B4" t="s">
        <v>15</v>
      </c>
      <c r="C4" t="s">
        <v>4</v>
      </c>
      <c r="D4" t="s">
        <v>90</v>
      </c>
      <c r="E4" t="s">
        <v>67</v>
      </c>
      <c r="F4">
        <v>11.5</v>
      </c>
      <c r="G4">
        <v>1</v>
      </c>
      <c r="I4" s="6">
        <v>3.5</v>
      </c>
      <c r="N4" s="6">
        <v>13.8</v>
      </c>
      <c r="O4">
        <v>11.5</v>
      </c>
      <c r="P4">
        <v>1</v>
      </c>
      <c r="Q4">
        <f>O4</f>
        <v>11.5</v>
      </c>
      <c r="R4" t="s">
        <v>345</v>
      </c>
      <c r="S4"/>
      <c r="T4" s="65">
        <v>6.9</v>
      </c>
      <c r="U4">
        <v>14</v>
      </c>
      <c r="V4" t="s">
        <v>9</v>
      </c>
    </row>
    <row r="5" spans="1:22" x14ac:dyDescent="0.3">
      <c r="A5" t="s">
        <v>83</v>
      </c>
      <c r="B5" t="s">
        <v>15</v>
      </c>
      <c r="C5" t="s">
        <v>4</v>
      </c>
      <c r="D5" t="s">
        <v>90</v>
      </c>
      <c r="G5">
        <v>1</v>
      </c>
      <c r="I5" s="6">
        <f>1.33*3.5</f>
        <v>4.6550000000000002</v>
      </c>
      <c r="N5" s="6">
        <v>7.1</v>
      </c>
      <c r="O5">
        <v>5.6</v>
      </c>
      <c r="P5"/>
      <c r="R5" t="s">
        <v>346</v>
      </c>
      <c r="S5"/>
      <c r="T5" s="65">
        <v>3.4</v>
      </c>
      <c r="U5">
        <v>18</v>
      </c>
      <c r="V5" t="s">
        <v>9</v>
      </c>
    </row>
    <row r="6" spans="1:22" x14ac:dyDescent="0.3">
      <c r="A6" t="s">
        <v>83</v>
      </c>
      <c r="B6" t="s">
        <v>15</v>
      </c>
      <c r="C6" t="s">
        <v>4</v>
      </c>
      <c r="D6" t="s">
        <v>90</v>
      </c>
      <c r="G6">
        <v>1</v>
      </c>
      <c r="I6" s="6">
        <f>1.66*3.5</f>
        <v>5.81</v>
      </c>
      <c r="N6" s="6">
        <v>7.6</v>
      </c>
      <c r="O6">
        <v>6.1</v>
      </c>
      <c r="P6"/>
      <c r="R6" t="s">
        <v>346</v>
      </c>
      <c r="S6"/>
      <c r="T6" s="65">
        <v>3.6</v>
      </c>
      <c r="U6">
        <v>22</v>
      </c>
      <c r="V6" t="s">
        <v>9</v>
      </c>
    </row>
    <row r="7" spans="1:22" x14ac:dyDescent="0.3">
      <c r="A7" t="s">
        <v>83</v>
      </c>
      <c r="B7" t="s">
        <v>15</v>
      </c>
      <c r="C7" t="s">
        <v>4</v>
      </c>
      <c r="D7" t="s">
        <v>90</v>
      </c>
      <c r="G7">
        <v>1</v>
      </c>
      <c r="I7" s="6">
        <f>2*3.5</f>
        <v>7</v>
      </c>
      <c r="N7" s="6">
        <v>6.8</v>
      </c>
      <c r="O7">
        <v>5.4</v>
      </c>
      <c r="P7"/>
      <c r="R7" t="s">
        <v>346</v>
      </c>
      <c r="S7"/>
      <c r="T7" s="65">
        <v>3.3</v>
      </c>
      <c r="U7">
        <v>22</v>
      </c>
      <c r="V7" t="s">
        <v>9</v>
      </c>
    </row>
    <row r="8" spans="1:22" x14ac:dyDescent="0.3">
      <c r="A8" t="s">
        <v>83</v>
      </c>
      <c r="B8" t="s">
        <v>16</v>
      </c>
      <c r="C8" t="s">
        <v>4</v>
      </c>
      <c r="D8" t="s">
        <v>90</v>
      </c>
      <c r="E8" t="s">
        <v>68</v>
      </c>
      <c r="G8">
        <v>1</v>
      </c>
      <c r="I8" s="6">
        <f>1.33*3.5</f>
        <v>4.6550000000000002</v>
      </c>
      <c r="N8" s="6">
        <v>30.4</v>
      </c>
      <c r="O8">
        <v>22.4</v>
      </c>
      <c r="P8"/>
      <c r="R8" t="s">
        <v>347</v>
      </c>
      <c r="S8"/>
      <c r="T8" s="65">
        <v>13.5</v>
      </c>
      <c r="U8">
        <v>-17</v>
      </c>
      <c r="V8" t="s">
        <v>9</v>
      </c>
    </row>
    <row r="9" spans="1:22" x14ac:dyDescent="0.3">
      <c r="A9" t="s">
        <v>174</v>
      </c>
      <c r="C9" t="s">
        <v>3</v>
      </c>
      <c r="D9" t="s">
        <v>172</v>
      </c>
      <c r="F9" s="6">
        <v>4.9374545454545462</v>
      </c>
      <c r="G9">
        <v>1</v>
      </c>
      <c r="H9">
        <v>110</v>
      </c>
      <c r="J9" s="6">
        <f t="shared" ref="J9:J10" si="0">H9*1000/365</f>
        <v>301.36986301369865</v>
      </c>
      <c r="K9">
        <v>0.6</v>
      </c>
      <c r="L9" s="6">
        <f>372*24/1000</f>
        <v>8.9280000000000008</v>
      </c>
      <c r="N9" s="6">
        <f>454.5*24/1000</f>
        <v>10.907999999999999</v>
      </c>
      <c r="O9" s="6">
        <f>T9/K9</f>
        <v>4.9374545454545462</v>
      </c>
      <c r="P9">
        <v>4</v>
      </c>
      <c r="Q9" s="6">
        <f>O9</f>
        <v>4.9374545454545462</v>
      </c>
      <c r="S9"/>
      <c r="T9" s="65">
        <f>L9*100/(J9)</f>
        <v>2.9624727272727274</v>
      </c>
      <c r="V9" t="s">
        <v>181</v>
      </c>
    </row>
    <row r="10" spans="1:22" ht="15" thickBot="1" x14ac:dyDescent="0.35">
      <c r="A10" t="s">
        <v>174</v>
      </c>
      <c r="C10" t="s">
        <v>3</v>
      </c>
      <c r="D10" t="s">
        <v>172</v>
      </c>
      <c r="F10" s="6">
        <v>6.6363636363636358</v>
      </c>
      <c r="G10">
        <v>1</v>
      </c>
      <c r="H10">
        <v>110</v>
      </c>
      <c r="J10" s="6">
        <f t="shared" si="0"/>
        <v>301.36986301369865</v>
      </c>
      <c r="K10">
        <v>0.6</v>
      </c>
      <c r="L10">
        <f>N10</f>
        <v>12</v>
      </c>
      <c r="N10" s="6">
        <v>12</v>
      </c>
      <c r="O10" s="6">
        <f>T10/K10</f>
        <v>6.6363636363636358</v>
      </c>
      <c r="P10">
        <v>1</v>
      </c>
      <c r="Q10" s="6">
        <f>O10</f>
        <v>6.6363636363636358</v>
      </c>
      <c r="S10"/>
      <c r="T10" s="65">
        <f>L10*100/(J10)</f>
        <v>3.9818181818181815</v>
      </c>
      <c r="V10" t="s">
        <v>227</v>
      </c>
    </row>
    <row r="11" spans="1:22" x14ac:dyDescent="0.3">
      <c r="A11" s="36" t="s">
        <v>83</v>
      </c>
      <c r="B11" s="37" t="s">
        <v>3</v>
      </c>
      <c r="C11" s="37"/>
      <c r="D11" s="37" t="s">
        <v>353</v>
      </c>
      <c r="E11" s="44"/>
      <c r="F11" s="40">
        <v>6.6363636363636358</v>
      </c>
      <c r="N11" s="6"/>
      <c r="P11"/>
      <c r="Q11" s="6">
        <f>MEDIAN(Q4:Q10)</f>
        <v>6.6363636363636358</v>
      </c>
      <c r="S11">
        <v>19</v>
      </c>
      <c r="T11" s="65"/>
      <c r="V11"/>
    </row>
    <row r="12" spans="1:22" x14ac:dyDescent="0.3">
      <c r="A12" s="46" t="s">
        <v>83</v>
      </c>
      <c r="B12" s="43"/>
      <c r="C12" s="43"/>
      <c r="D12" s="43" t="s">
        <v>354</v>
      </c>
      <c r="E12" s="47"/>
      <c r="F12" s="52">
        <v>7.6912727272727279</v>
      </c>
      <c r="N12" s="6"/>
      <c r="P12"/>
      <c r="Q12" s="6">
        <f>AVERAGE(Q4:Q10)</f>
        <v>7.6912727272727279</v>
      </c>
      <c r="S12"/>
      <c r="T12" s="65"/>
      <c r="V12"/>
    </row>
    <row r="13" spans="1:22" ht="15" thickBot="1" x14ac:dyDescent="0.35">
      <c r="A13" s="38" t="s">
        <v>83</v>
      </c>
      <c r="B13" s="39" t="s">
        <v>3</v>
      </c>
      <c r="C13" s="39"/>
      <c r="D13" s="39" t="s">
        <v>210</v>
      </c>
      <c r="E13" s="45"/>
      <c r="F13" s="41">
        <v>3.4060792127174273</v>
      </c>
      <c r="N13" s="6"/>
      <c r="P13"/>
      <c r="Q13" s="6">
        <f>STDEV(Q4:Q10)</f>
        <v>3.4060792127174273</v>
      </c>
      <c r="S13"/>
      <c r="T13" s="65"/>
      <c r="V13"/>
    </row>
    <row r="14" spans="1:22" ht="15" thickBot="1" x14ac:dyDescent="0.35">
      <c r="A14" s="38" t="s">
        <v>83</v>
      </c>
      <c r="B14" s="39"/>
      <c r="C14" s="39"/>
      <c r="D14" s="39" t="s">
        <v>366</v>
      </c>
      <c r="E14" s="45"/>
      <c r="F14" s="41">
        <v>6.3143636363636366</v>
      </c>
      <c r="N14" s="6"/>
      <c r="P14">
        <f>SUM(P4:P10)</f>
        <v>6</v>
      </c>
      <c r="Q14" s="6">
        <f>((P4*Q4)+(P9*Q9)+(P10*Q10))/P14</f>
        <v>6.3143636363636366</v>
      </c>
      <c r="S14"/>
      <c r="T14" s="65"/>
      <c r="V14"/>
    </row>
    <row r="15" spans="1:22" x14ac:dyDescent="0.3">
      <c r="N15" s="6"/>
      <c r="P15"/>
      <c r="S15"/>
      <c r="T15" s="65"/>
      <c r="V15"/>
    </row>
    <row r="16" spans="1:22" x14ac:dyDescent="0.3">
      <c r="N16" s="6"/>
      <c r="P16"/>
      <c r="S16"/>
      <c r="T16" s="65"/>
      <c r="V16"/>
    </row>
    <row r="17" spans="1:22" x14ac:dyDescent="0.3">
      <c r="A17" t="s">
        <v>140</v>
      </c>
      <c r="B17" t="s">
        <v>53</v>
      </c>
      <c r="C17" t="s">
        <v>5</v>
      </c>
      <c r="D17" t="s">
        <v>106</v>
      </c>
      <c r="E17" t="s">
        <v>361</v>
      </c>
      <c r="F17" s="6">
        <v>18.392857142857146</v>
      </c>
      <c r="G17">
        <v>1</v>
      </c>
      <c r="J17">
        <v>224</v>
      </c>
      <c r="K17">
        <v>0.6</v>
      </c>
      <c r="N17" s="6">
        <f>1.03*24</f>
        <v>24.72</v>
      </c>
      <c r="O17" s="6">
        <f t="shared" ref="O17:O24" si="1">T17/K17</f>
        <v>18.392857142857146</v>
      </c>
      <c r="P17">
        <v>1</v>
      </c>
      <c r="Q17" s="6">
        <f t="shared" ref="Q17:Q24" si="2">O17</f>
        <v>18.392857142857146</v>
      </c>
      <c r="S17"/>
      <c r="T17" s="65">
        <f>N17*100/J17</f>
        <v>11.035714285714286</v>
      </c>
      <c r="V17" t="s">
        <v>56</v>
      </c>
    </row>
    <row r="18" spans="1:22" x14ac:dyDescent="0.3">
      <c r="A18" t="s">
        <v>140</v>
      </c>
      <c r="B18" t="s">
        <v>54</v>
      </c>
      <c r="C18" t="s">
        <v>55</v>
      </c>
      <c r="D18" t="s">
        <v>106</v>
      </c>
      <c r="E18" t="s">
        <v>361</v>
      </c>
      <c r="F18" s="6">
        <v>12.315270935960593</v>
      </c>
      <c r="G18">
        <v>1</v>
      </c>
      <c r="J18">
        <v>406</v>
      </c>
      <c r="K18">
        <v>0.6</v>
      </c>
      <c r="N18" s="6">
        <f>1.25*24</f>
        <v>30</v>
      </c>
      <c r="O18" s="6">
        <f t="shared" si="1"/>
        <v>12.315270935960593</v>
      </c>
      <c r="P18">
        <v>1</v>
      </c>
      <c r="Q18" s="6">
        <f t="shared" si="2"/>
        <v>12.315270935960593</v>
      </c>
      <c r="S18"/>
      <c r="T18" s="65">
        <f>N18*100/J18</f>
        <v>7.389162561576355</v>
      </c>
      <c r="V18" t="s">
        <v>56</v>
      </c>
    </row>
    <row r="19" spans="1:22" x14ac:dyDescent="0.3">
      <c r="A19" t="s">
        <v>140</v>
      </c>
      <c r="B19" t="s">
        <v>141</v>
      </c>
      <c r="C19" t="s">
        <v>144</v>
      </c>
      <c r="D19" t="s">
        <v>142</v>
      </c>
      <c r="E19" t="s">
        <v>362</v>
      </c>
      <c r="F19" s="6">
        <v>15.328083989501312</v>
      </c>
      <c r="G19">
        <v>1</v>
      </c>
      <c r="H19">
        <v>127</v>
      </c>
      <c r="J19" s="6">
        <f>H19*1000/365</f>
        <v>347.94520547945206</v>
      </c>
      <c r="K19">
        <v>0.6</v>
      </c>
      <c r="L19">
        <v>32</v>
      </c>
      <c r="M19">
        <f>13.9*1000</f>
        <v>13900</v>
      </c>
      <c r="N19" s="6"/>
      <c r="O19" s="6">
        <f t="shared" si="1"/>
        <v>15.328083989501312</v>
      </c>
      <c r="P19">
        <v>1</v>
      </c>
      <c r="Q19" s="6">
        <f t="shared" si="2"/>
        <v>15.328083989501312</v>
      </c>
      <c r="S19"/>
      <c r="T19" s="65">
        <f>L19*100/(J19)</f>
        <v>9.1968503937007871</v>
      </c>
      <c r="V19" t="s">
        <v>146</v>
      </c>
    </row>
    <row r="20" spans="1:22" x14ac:dyDescent="0.3">
      <c r="A20" t="s">
        <v>48</v>
      </c>
      <c r="B20" t="s">
        <v>187</v>
      </c>
      <c r="C20" t="s">
        <v>144</v>
      </c>
      <c r="D20" t="s">
        <v>188</v>
      </c>
      <c r="E20" t="s">
        <v>184</v>
      </c>
      <c r="F20" s="6">
        <v>3.6374570446735395</v>
      </c>
      <c r="G20">
        <v>1</v>
      </c>
      <c r="H20">
        <v>97</v>
      </c>
      <c r="J20" s="6">
        <f>H20*1000/365</f>
        <v>265.75342465753425</v>
      </c>
      <c r="K20">
        <v>0.6</v>
      </c>
      <c r="L20">
        <f>N20</f>
        <v>5.8</v>
      </c>
      <c r="N20" s="6">
        <v>5.8</v>
      </c>
      <c r="O20" s="6">
        <f t="shared" si="1"/>
        <v>3.6374570446735395</v>
      </c>
      <c r="P20">
        <v>1</v>
      </c>
      <c r="Q20" s="6">
        <f t="shared" si="2"/>
        <v>3.6374570446735395</v>
      </c>
      <c r="S20"/>
      <c r="T20" s="65">
        <f>L20*100/(J20)</f>
        <v>2.1824742268041235</v>
      </c>
      <c r="V20" t="s">
        <v>230</v>
      </c>
    </row>
    <row r="21" spans="1:22" x14ac:dyDescent="0.3">
      <c r="A21" t="s">
        <v>48</v>
      </c>
      <c r="B21" t="s">
        <v>167</v>
      </c>
      <c r="F21" s="6">
        <v>6.666666666666667</v>
      </c>
      <c r="G21">
        <v>1</v>
      </c>
      <c r="J21" s="6"/>
      <c r="K21">
        <v>0.6</v>
      </c>
      <c r="N21" s="6"/>
      <c r="O21" s="6">
        <f t="shared" si="1"/>
        <v>6.666666666666667</v>
      </c>
      <c r="P21">
        <v>1</v>
      </c>
      <c r="Q21" s="6">
        <f t="shared" si="2"/>
        <v>6.666666666666667</v>
      </c>
      <c r="S21"/>
      <c r="T21" s="65">
        <v>4</v>
      </c>
      <c r="V21" t="s">
        <v>168</v>
      </c>
    </row>
    <row r="22" spans="1:22" x14ac:dyDescent="0.3">
      <c r="A22" t="s">
        <v>48</v>
      </c>
      <c r="B22" t="s">
        <v>4</v>
      </c>
      <c r="D22" t="s">
        <v>188</v>
      </c>
      <c r="F22" s="6">
        <v>8.9782474226804148</v>
      </c>
      <c r="G22">
        <v>1</v>
      </c>
      <c r="H22">
        <v>97</v>
      </c>
      <c r="J22" s="6">
        <f>H22*1000/365</f>
        <v>265.75342465753425</v>
      </c>
      <c r="K22">
        <v>0.6</v>
      </c>
      <c r="L22" s="6">
        <f>596.5*24/1000</f>
        <v>14.316000000000001</v>
      </c>
      <c r="N22" s="6">
        <f>527*24/1000</f>
        <v>12.648</v>
      </c>
      <c r="O22" s="6">
        <f t="shared" si="1"/>
        <v>8.9782474226804148</v>
      </c>
      <c r="P22">
        <v>1</v>
      </c>
      <c r="Q22" s="6">
        <f t="shared" si="2"/>
        <v>8.9782474226804148</v>
      </c>
      <c r="S22"/>
      <c r="T22" s="65">
        <f>L22*100/(J22)</f>
        <v>5.3869484536082481</v>
      </c>
      <c r="V22" t="s">
        <v>189</v>
      </c>
    </row>
    <row r="23" spans="1:22" x14ac:dyDescent="0.3">
      <c r="A23" t="s">
        <v>48</v>
      </c>
      <c r="C23" t="s">
        <v>3</v>
      </c>
      <c r="D23" t="s">
        <v>172</v>
      </c>
      <c r="F23" s="6">
        <v>2.6680446194225724</v>
      </c>
      <c r="G23">
        <v>1</v>
      </c>
      <c r="H23">
        <v>127</v>
      </c>
      <c r="J23" s="6">
        <f>H23*1000/365</f>
        <v>347.94520547945206</v>
      </c>
      <c r="K23">
        <v>0.6</v>
      </c>
      <c r="L23" s="6">
        <v>5.57</v>
      </c>
      <c r="N23" s="6"/>
      <c r="O23" s="6">
        <f t="shared" si="1"/>
        <v>2.6680446194225724</v>
      </c>
      <c r="P23">
        <v>4</v>
      </c>
      <c r="Q23" s="6">
        <f t="shared" si="2"/>
        <v>2.6680446194225724</v>
      </c>
      <c r="S23"/>
      <c r="T23" s="65">
        <f>L23*100/(J23)</f>
        <v>1.6008267716535434</v>
      </c>
      <c r="V23" t="s">
        <v>181</v>
      </c>
    </row>
    <row r="24" spans="1:22" ht="15" thickBot="1" x14ac:dyDescent="0.35">
      <c r="A24" t="s">
        <v>140</v>
      </c>
      <c r="B24" t="s">
        <v>3</v>
      </c>
      <c r="D24" t="s">
        <v>172</v>
      </c>
      <c r="F24" s="6">
        <v>17.143939393939394</v>
      </c>
      <c r="G24">
        <v>1</v>
      </c>
      <c r="H24">
        <v>110</v>
      </c>
      <c r="J24" s="6">
        <f>H24*1000/365</f>
        <v>301.36986301369865</v>
      </c>
      <c r="K24">
        <v>0.6</v>
      </c>
      <c r="L24">
        <f>N24</f>
        <v>31</v>
      </c>
      <c r="N24" s="6">
        <v>31</v>
      </c>
      <c r="O24" s="6">
        <f t="shared" si="1"/>
        <v>17.143939393939394</v>
      </c>
      <c r="P24">
        <v>1</v>
      </c>
      <c r="Q24" s="6">
        <f t="shared" si="2"/>
        <v>17.143939393939394</v>
      </c>
      <c r="S24"/>
      <c r="T24" s="65">
        <f>L24*100/(J24)</f>
        <v>10.286363636363635</v>
      </c>
      <c r="V24" t="s">
        <v>227</v>
      </c>
    </row>
    <row r="25" spans="1:22" x14ac:dyDescent="0.3">
      <c r="A25" s="36" t="s">
        <v>140</v>
      </c>
      <c r="B25" s="37" t="s">
        <v>3</v>
      </c>
      <c r="C25" s="37"/>
      <c r="D25" s="37" t="s">
        <v>353</v>
      </c>
      <c r="E25" s="44"/>
      <c r="F25" s="40">
        <f>Q25</f>
        <v>10.646759179320505</v>
      </c>
      <c r="P25"/>
      <c r="Q25" s="6">
        <f>MEDIAN(Q17:Q24)</f>
        <v>10.646759179320505</v>
      </c>
      <c r="S25">
        <v>19</v>
      </c>
      <c r="T25" s="65"/>
      <c r="V25"/>
    </row>
    <row r="26" spans="1:22" x14ac:dyDescent="0.3">
      <c r="A26" s="46" t="s">
        <v>140</v>
      </c>
      <c r="B26" s="43" t="s">
        <v>3</v>
      </c>
      <c r="C26" s="43"/>
      <c r="D26" s="43" t="s">
        <v>354</v>
      </c>
      <c r="E26" s="47"/>
      <c r="F26" s="52">
        <f t="shared" ref="F26:F28" si="3">Q26</f>
        <v>10.641320901962704</v>
      </c>
      <c r="P26"/>
      <c r="Q26" s="6">
        <f>AVERAGE(Q17:Q24)</f>
        <v>10.641320901962704</v>
      </c>
      <c r="S26"/>
      <c r="T26" s="65"/>
      <c r="V26"/>
    </row>
    <row r="27" spans="1:22" ht="15" thickBot="1" x14ac:dyDescent="0.35">
      <c r="A27" s="38" t="s">
        <v>140</v>
      </c>
      <c r="B27" s="39" t="s">
        <v>3</v>
      </c>
      <c r="C27" s="39"/>
      <c r="D27" s="39" t="s">
        <v>210</v>
      </c>
      <c r="E27" s="45"/>
      <c r="F27" s="41">
        <f t="shared" si="3"/>
        <v>6.0748797942009931</v>
      </c>
      <c r="P27"/>
      <c r="Q27" s="6">
        <f>STDEV(Q17:Q24)</f>
        <v>6.0748797942009931</v>
      </c>
      <c r="S27"/>
      <c r="T27" s="65"/>
      <c r="V27"/>
    </row>
    <row r="28" spans="1:22" ht="15" thickBot="1" x14ac:dyDescent="0.35">
      <c r="A28" s="38" t="s">
        <v>140</v>
      </c>
      <c r="B28" s="39" t="s">
        <v>3</v>
      </c>
      <c r="C28" s="39"/>
      <c r="D28" s="39" t="s">
        <v>375</v>
      </c>
      <c r="E28" s="45"/>
      <c r="F28" s="41">
        <f t="shared" si="3"/>
        <v>5.47851182788055</v>
      </c>
      <c r="P28">
        <f>SUM(P17:P24,P4,P9,P10)</f>
        <v>17</v>
      </c>
      <c r="Q28" s="6">
        <f>((P17*Q17)+(P18*Q18)+(P19*Q19)+(P20*Q20)+(P21*Q21)+(P22*Q22)+(P23*Q23)+(P24*Q24))/P28</f>
        <v>5.47851182788055</v>
      </c>
      <c r="S28"/>
      <c r="T28" s="65"/>
      <c r="V28"/>
    </row>
    <row r="29" spans="1:22" x14ac:dyDescent="0.3">
      <c r="P29"/>
      <c r="S29"/>
      <c r="T29" s="65"/>
      <c r="V29"/>
    </row>
    <row r="30" spans="1:22" x14ac:dyDescent="0.3">
      <c r="P30"/>
      <c r="S30"/>
      <c r="T30" s="65"/>
      <c r="V30"/>
    </row>
    <row r="31" spans="1:22" x14ac:dyDescent="0.3">
      <c r="P31"/>
      <c r="S31"/>
      <c r="T31" s="65"/>
      <c r="V31"/>
    </row>
    <row r="32" spans="1:22" x14ac:dyDescent="0.3">
      <c r="A32" t="s">
        <v>176</v>
      </c>
      <c r="C32" t="s">
        <v>3</v>
      </c>
      <c r="D32" t="s">
        <v>172</v>
      </c>
      <c r="F32">
        <v>3.547389558232938</v>
      </c>
      <c r="G32">
        <v>1</v>
      </c>
      <c r="H32">
        <v>83</v>
      </c>
      <c r="J32" s="6">
        <f>H32*1000/365</f>
        <v>227.39726027397259</v>
      </c>
      <c r="K32">
        <v>0.6</v>
      </c>
      <c r="L32">
        <f>201.666666666667*24/1000</f>
        <v>4.8400000000000079</v>
      </c>
      <c r="N32" s="6">
        <f>746*24/1000</f>
        <v>17.904</v>
      </c>
      <c r="O32" s="6">
        <f>T32/K32</f>
        <v>3.547389558232938</v>
      </c>
      <c r="P32"/>
      <c r="Q32" s="6">
        <f>O32</f>
        <v>3.547389558232938</v>
      </c>
      <c r="S32">
        <v>19</v>
      </c>
      <c r="T32" s="65">
        <f>L32*100/(J32)</f>
        <v>2.1284337349397626</v>
      </c>
      <c r="V32"/>
    </row>
    <row r="33" spans="16:22" x14ac:dyDescent="0.3">
      <c r="P33"/>
      <c r="S33"/>
      <c r="T33" s="65"/>
      <c r="V33"/>
    </row>
    <row r="34" spans="16:22" x14ac:dyDescent="0.3">
      <c r="P34"/>
      <c r="S34"/>
      <c r="T34" s="65"/>
      <c r="V34"/>
    </row>
    <row r="35" spans="16:22" x14ac:dyDescent="0.3">
      <c r="P35"/>
      <c r="S35"/>
      <c r="T35" s="65"/>
      <c r="V35"/>
    </row>
    <row r="36" spans="16:22" x14ac:dyDescent="0.3">
      <c r="P36"/>
      <c r="S36"/>
      <c r="T36" s="65"/>
      <c r="V36"/>
    </row>
    <row r="37" spans="16:22" x14ac:dyDescent="0.3">
      <c r="P37"/>
      <c r="S37"/>
      <c r="T37" s="65"/>
      <c r="V37"/>
    </row>
    <row r="38" spans="16:22" x14ac:dyDescent="0.3">
      <c r="P38"/>
      <c r="S38"/>
      <c r="T38" s="65"/>
      <c r="V38"/>
    </row>
    <row r="39" spans="16:22" x14ac:dyDescent="0.3">
      <c r="P39"/>
      <c r="S39"/>
      <c r="T39" s="65"/>
      <c r="V39"/>
    </row>
    <row r="40" spans="16:22" x14ac:dyDescent="0.3">
      <c r="P40"/>
      <c r="S40"/>
      <c r="T40" s="65"/>
      <c r="V40"/>
    </row>
    <row r="41" spans="16:22" x14ac:dyDescent="0.3">
      <c r="P41"/>
      <c r="S41"/>
      <c r="T41" s="65"/>
      <c r="V41"/>
    </row>
    <row r="42" spans="16:22" x14ac:dyDescent="0.3">
      <c r="P42"/>
      <c r="S42"/>
      <c r="T42" s="65"/>
      <c r="V42"/>
    </row>
    <row r="43" spans="16:22" x14ac:dyDescent="0.3">
      <c r="P43"/>
      <c r="S43"/>
      <c r="T43" s="65"/>
      <c r="V43"/>
    </row>
    <row r="44" spans="16:22" x14ac:dyDescent="0.3">
      <c r="P44"/>
      <c r="S44"/>
      <c r="T44" s="65"/>
      <c r="V44"/>
    </row>
    <row r="45" spans="16:22" x14ac:dyDescent="0.3">
      <c r="P45"/>
      <c r="S45"/>
      <c r="T45" s="65"/>
      <c r="V45"/>
    </row>
    <row r="46" spans="16:22" x14ac:dyDescent="0.3">
      <c r="P46"/>
      <c r="S46"/>
      <c r="T46" s="65"/>
      <c r="V46"/>
    </row>
    <row r="47" spans="16:22" x14ac:dyDescent="0.3">
      <c r="P47"/>
      <c r="S47"/>
      <c r="T47" s="65"/>
      <c r="V47"/>
    </row>
    <row r="48" spans="16:22" x14ac:dyDescent="0.3">
      <c r="P48"/>
      <c r="S48"/>
      <c r="T48" s="65"/>
      <c r="V48"/>
    </row>
    <row r="49" spans="16:22" x14ac:dyDescent="0.3">
      <c r="P49"/>
      <c r="S49"/>
      <c r="T49" s="65"/>
      <c r="V49"/>
    </row>
    <row r="50" spans="16:22" x14ac:dyDescent="0.3">
      <c r="P50"/>
      <c r="S50"/>
      <c r="T50" s="65"/>
      <c r="V50"/>
    </row>
    <row r="51" spans="16:22" x14ac:dyDescent="0.3">
      <c r="P51"/>
      <c r="S51"/>
      <c r="T51" s="65"/>
      <c r="V51"/>
    </row>
    <row r="52" spans="16:22" x14ac:dyDescent="0.3">
      <c r="P52"/>
      <c r="S52"/>
      <c r="T52" s="65"/>
      <c r="V52"/>
    </row>
    <row r="53" spans="16:22" x14ac:dyDescent="0.3">
      <c r="P53"/>
      <c r="S53"/>
      <c r="T53" s="65"/>
      <c r="V53"/>
    </row>
    <row r="54" spans="16:22" x14ac:dyDescent="0.3">
      <c r="P54"/>
      <c r="S54"/>
      <c r="T54" s="65"/>
      <c r="V54"/>
    </row>
    <row r="55" spans="16:22" x14ac:dyDescent="0.3">
      <c r="P55"/>
      <c r="S55"/>
      <c r="T55" s="65"/>
      <c r="V55"/>
    </row>
    <row r="56" spans="16:22" x14ac:dyDescent="0.3">
      <c r="P56"/>
      <c r="S56"/>
      <c r="T56" s="65"/>
      <c r="V56"/>
    </row>
    <row r="57" spans="16:22" x14ac:dyDescent="0.3">
      <c r="P57"/>
      <c r="S57"/>
      <c r="T57" s="65"/>
      <c r="V57"/>
    </row>
    <row r="58" spans="16:22" x14ac:dyDescent="0.3">
      <c r="P58"/>
      <c r="S58"/>
      <c r="T58" s="65"/>
      <c r="V58"/>
    </row>
    <row r="59" spans="16:22" x14ac:dyDescent="0.3">
      <c r="P59"/>
      <c r="S59"/>
      <c r="T59" s="65"/>
      <c r="V59"/>
    </row>
    <row r="60" spans="16:22" x14ac:dyDescent="0.3">
      <c r="P60"/>
      <c r="S60"/>
      <c r="V60"/>
    </row>
    <row r="61" spans="16:22" x14ac:dyDescent="0.3">
      <c r="P61"/>
      <c r="S61"/>
      <c r="V61"/>
    </row>
    <row r="62" spans="16:22" x14ac:dyDescent="0.3">
      <c r="P62"/>
      <c r="S62"/>
      <c r="V62"/>
    </row>
    <row r="63" spans="16:22" x14ac:dyDescent="0.3">
      <c r="P63"/>
      <c r="S63"/>
      <c r="V63"/>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workbookViewId="0">
      <pane ySplit="1" topLeftCell="A2" activePane="bottomLeft" state="frozen"/>
      <selection pane="bottomLeft" activeCell="G1" sqref="G1"/>
    </sheetView>
  </sheetViews>
  <sheetFormatPr defaultRowHeight="14.4" x14ac:dyDescent="0.3"/>
  <cols>
    <col min="1" max="1" width="13.109375" customWidth="1"/>
  </cols>
  <sheetData>
    <row r="1" spans="1:5" ht="46.8" x14ac:dyDescent="0.3">
      <c r="A1" s="81" t="s">
        <v>441</v>
      </c>
      <c r="B1" s="82" t="s">
        <v>442</v>
      </c>
      <c r="C1" s="82" t="s">
        <v>443</v>
      </c>
      <c r="D1" s="82" t="s">
        <v>391</v>
      </c>
      <c r="E1" s="82"/>
    </row>
    <row r="2" spans="1:5" x14ac:dyDescent="0.3">
      <c r="A2">
        <v>1</v>
      </c>
      <c r="D2" s="54" t="s">
        <v>393</v>
      </c>
    </row>
    <row r="3" spans="1:5" x14ac:dyDescent="0.3">
      <c r="A3">
        <v>1</v>
      </c>
      <c r="D3" t="s">
        <v>394</v>
      </c>
    </row>
    <row r="4" spans="1:5" x14ac:dyDescent="0.3">
      <c r="A4">
        <v>1</v>
      </c>
      <c r="D4" t="s">
        <v>396</v>
      </c>
    </row>
    <row r="5" spans="1:5" x14ac:dyDescent="0.3">
      <c r="A5">
        <v>1</v>
      </c>
      <c r="D5" t="s">
        <v>395</v>
      </c>
    </row>
    <row r="6" spans="1:5" s="13" customFormat="1" x14ac:dyDescent="0.3">
      <c r="D6" s="13" t="s">
        <v>452</v>
      </c>
    </row>
    <row r="7" spans="1:5" x14ac:dyDescent="0.3">
      <c r="C7">
        <v>1</v>
      </c>
      <c r="D7" t="s">
        <v>397</v>
      </c>
    </row>
    <row r="8" spans="1:5" x14ac:dyDescent="0.3">
      <c r="A8">
        <v>1</v>
      </c>
      <c r="D8" t="s">
        <v>398</v>
      </c>
    </row>
    <row r="9" spans="1:5" x14ac:dyDescent="0.3">
      <c r="A9">
        <v>1</v>
      </c>
      <c r="D9" t="s">
        <v>458</v>
      </c>
    </row>
    <row r="10" spans="1:5" x14ac:dyDescent="0.3">
      <c r="A10">
        <v>1</v>
      </c>
      <c r="D10" t="s">
        <v>399</v>
      </c>
    </row>
    <row r="11" spans="1:5" x14ac:dyDescent="0.3">
      <c r="A11">
        <v>1</v>
      </c>
      <c r="D11" t="s">
        <v>400</v>
      </c>
    </row>
    <row r="12" spans="1:5" x14ac:dyDescent="0.3">
      <c r="A12">
        <v>1</v>
      </c>
      <c r="D12" t="s">
        <v>401</v>
      </c>
    </row>
    <row r="13" spans="1:5" x14ac:dyDescent="0.3">
      <c r="A13">
        <v>1</v>
      </c>
      <c r="D13" t="s">
        <v>402</v>
      </c>
    </row>
    <row r="14" spans="1:5" x14ac:dyDescent="0.3">
      <c r="A14">
        <v>1</v>
      </c>
      <c r="D14" t="s">
        <v>403</v>
      </c>
    </row>
    <row r="15" spans="1:5" x14ac:dyDescent="0.3">
      <c r="A15">
        <v>1</v>
      </c>
      <c r="D15" t="s">
        <v>404</v>
      </c>
    </row>
    <row r="16" spans="1:5" x14ac:dyDescent="0.3">
      <c r="C16">
        <v>1</v>
      </c>
      <c r="D16" t="s">
        <v>405</v>
      </c>
    </row>
    <row r="17" spans="1:4" x14ac:dyDescent="0.3">
      <c r="A17">
        <v>1</v>
      </c>
      <c r="D17" t="s">
        <v>406</v>
      </c>
    </row>
    <row r="18" spans="1:4" x14ac:dyDescent="0.3">
      <c r="A18">
        <v>1</v>
      </c>
      <c r="D18" t="s">
        <v>407</v>
      </c>
    </row>
    <row r="19" spans="1:4" x14ac:dyDescent="0.3">
      <c r="A19">
        <v>1</v>
      </c>
      <c r="D19" t="s">
        <v>408</v>
      </c>
    </row>
    <row r="20" spans="1:4" x14ac:dyDescent="0.3">
      <c r="A20">
        <v>1</v>
      </c>
      <c r="D20" t="s">
        <v>409</v>
      </c>
    </row>
    <row r="21" spans="1:4" x14ac:dyDescent="0.3">
      <c r="A21">
        <v>1</v>
      </c>
      <c r="D21" t="s">
        <v>410</v>
      </c>
    </row>
    <row r="22" spans="1:4" x14ac:dyDescent="0.3">
      <c r="A22">
        <v>1</v>
      </c>
      <c r="D22" t="s">
        <v>411</v>
      </c>
    </row>
    <row r="23" spans="1:4" x14ac:dyDescent="0.3">
      <c r="A23">
        <v>1</v>
      </c>
      <c r="D23" t="s">
        <v>412</v>
      </c>
    </row>
    <row r="24" spans="1:4" x14ac:dyDescent="0.3">
      <c r="C24">
        <v>1</v>
      </c>
      <c r="D24" s="54" t="s">
        <v>413</v>
      </c>
    </row>
    <row r="25" spans="1:4" x14ac:dyDescent="0.3">
      <c r="A25">
        <v>1</v>
      </c>
      <c r="D25" s="54" t="s">
        <v>414</v>
      </c>
    </row>
    <row r="26" spans="1:4" x14ac:dyDescent="0.3">
      <c r="A26">
        <v>1</v>
      </c>
      <c r="D26" t="s">
        <v>415</v>
      </c>
    </row>
    <row r="27" spans="1:4" x14ac:dyDescent="0.3">
      <c r="A27">
        <v>1</v>
      </c>
      <c r="D27" t="s">
        <v>416</v>
      </c>
    </row>
    <row r="28" spans="1:4" x14ac:dyDescent="0.3">
      <c r="A28">
        <v>1</v>
      </c>
      <c r="D28" t="s">
        <v>417</v>
      </c>
    </row>
    <row r="29" spans="1:4" x14ac:dyDescent="0.3">
      <c r="A29">
        <v>1</v>
      </c>
      <c r="D29" t="s">
        <v>418</v>
      </c>
    </row>
    <row r="30" spans="1:4" s="13" customFormat="1" x14ac:dyDescent="0.3">
      <c r="D30" s="13" t="s">
        <v>454</v>
      </c>
    </row>
    <row r="31" spans="1:4" s="13" customFormat="1" x14ac:dyDescent="0.3">
      <c r="D31" s="13" t="s">
        <v>456</v>
      </c>
    </row>
    <row r="32" spans="1:4" x14ac:dyDescent="0.3">
      <c r="A32">
        <v>1</v>
      </c>
      <c r="D32" t="s">
        <v>419</v>
      </c>
    </row>
    <row r="33" spans="1:4" x14ac:dyDescent="0.3">
      <c r="A33">
        <v>1</v>
      </c>
      <c r="D33" t="s">
        <v>420</v>
      </c>
    </row>
    <row r="34" spans="1:4" x14ac:dyDescent="0.3">
      <c r="A34">
        <v>1</v>
      </c>
      <c r="D34" t="s">
        <v>421</v>
      </c>
    </row>
    <row r="35" spans="1:4" x14ac:dyDescent="0.3">
      <c r="A35">
        <v>1</v>
      </c>
      <c r="D35" t="s">
        <v>422</v>
      </c>
    </row>
    <row r="36" spans="1:4" x14ac:dyDescent="0.3">
      <c r="A36">
        <v>1</v>
      </c>
      <c r="D36" t="s">
        <v>423</v>
      </c>
    </row>
    <row r="37" spans="1:4" x14ac:dyDescent="0.3">
      <c r="A37">
        <v>1</v>
      </c>
      <c r="D37" t="s">
        <v>424</v>
      </c>
    </row>
    <row r="38" spans="1:4" x14ac:dyDescent="0.3">
      <c r="A38">
        <v>1</v>
      </c>
      <c r="D38" t="s">
        <v>425</v>
      </c>
    </row>
    <row r="39" spans="1:4" x14ac:dyDescent="0.3">
      <c r="B39">
        <v>1</v>
      </c>
      <c r="D39" t="s">
        <v>426</v>
      </c>
    </row>
    <row r="40" spans="1:4" x14ac:dyDescent="0.3">
      <c r="A40">
        <v>1</v>
      </c>
      <c r="D40" t="s">
        <v>427</v>
      </c>
    </row>
    <row r="41" spans="1:4" x14ac:dyDescent="0.3">
      <c r="A41">
        <v>1</v>
      </c>
      <c r="D41" t="s">
        <v>428</v>
      </c>
    </row>
    <row r="42" spans="1:4" x14ac:dyDescent="0.3">
      <c r="A42">
        <v>1</v>
      </c>
      <c r="D42" t="s">
        <v>429</v>
      </c>
    </row>
    <row r="43" spans="1:4" x14ac:dyDescent="0.3">
      <c r="A43">
        <v>1</v>
      </c>
      <c r="D43" t="s">
        <v>430</v>
      </c>
    </row>
    <row r="44" spans="1:4" x14ac:dyDescent="0.3">
      <c r="A44">
        <v>1</v>
      </c>
      <c r="D44" t="s">
        <v>431</v>
      </c>
    </row>
    <row r="45" spans="1:4" x14ac:dyDescent="0.3">
      <c r="A45">
        <v>1</v>
      </c>
      <c r="D45" t="s">
        <v>445</v>
      </c>
    </row>
    <row r="46" spans="1:4" x14ac:dyDescent="0.3">
      <c r="A46">
        <v>1</v>
      </c>
      <c r="D46" t="s">
        <v>432</v>
      </c>
    </row>
    <row r="47" spans="1:4" x14ac:dyDescent="0.3">
      <c r="A47">
        <v>1</v>
      </c>
      <c r="D47" t="s">
        <v>433</v>
      </c>
    </row>
    <row r="48" spans="1:4" x14ac:dyDescent="0.3">
      <c r="A48">
        <v>1</v>
      </c>
      <c r="D48" t="s">
        <v>434</v>
      </c>
    </row>
    <row r="49" spans="1:4" x14ac:dyDescent="0.3">
      <c r="A49">
        <v>1</v>
      </c>
      <c r="D49" t="s">
        <v>435</v>
      </c>
    </row>
    <row r="50" spans="1:4" ht="15" customHeight="1" x14ac:dyDescent="0.3">
      <c r="A50">
        <v>1</v>
      </c>
      <c r="D50" t="s">
        <v>436</v>
      </c>
    </row>
    <row r="51" spans="1:4" x14ac:dyDescent="0.3">
      <c r="A51">
        <v>1</v>
      </c>
      <c r="D51" t="s">
        <v>437</v>
      </c>
    </row>
    <row r="52" spans="1:4" x14ac:dyDescent="0.3">
      <c r="A52">
        <v>1</v>
      </c>
      <c r="D52" t="s">
        <v>438</v>
      </c>
    </row>
    <row r="53" spans="1:4" x14ac:dyDescent="0.3">
      <c r="A53">
        <v>1</v>
      </c>
      <c r="D53" t="s">
        <v>439</v>
      </c>
    </row>
    <row r="54" spans="1:4" s="13" customFormat="1" x14ac:dyDescent="0.3">
      <c r="D54" s="13" t="s">
        <v>455</v>
      </c>
    </row>
    <row r="55" spans="1:4" x14ac:dyDescent="0.3">
      <c r="A55">
        <v>1</v>
      </c>
      <c r="D55" t="s">
        <v>440</v>
      </c>
    </row>
    <row r="56" spans="1:4" x14ac:dyDescent="0.3">
      <c r="A56">
        <v>1</v>
      </c>
      <c r="D56" t="s">
        <v>447</v>
      </c>
    </row>
    <row r="57" spans="1:4" x14ac:dyDescent="0.3">
      <c r="A57">
        <v>1</v>
      </c>
      <c r="D57" t="s">
        <v>457</v>
      </c>
    </row>
    <row r="58" spans="1:4" x14ac:dyDescent="0.3">
      <c r="A58">
        <f>SUM(A2:A57)</f>
        <v>48</v>
      </c>
      <c r="B58">
        <f>SUM(B2:B56)</f>
        <v>1</v>
      </c>
      <c r="C58">
        <f>SUM(C2:C56)</f>
        <v>3</v>
      </c>
    </row>
  </sheetData>
  <pageMargins left="0.7" right="0.7" top="0.75" bottom="0.75" header="0.3" footer="0.3"/>
  <pageSetup paperSize="9"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Pig barn litter</vt:lpstr>
      <vt:lpstr>Pig barn slats-holes</vt:lpstr>
      <vt:lpstr>Poultry barn</vt:lpstr>
      <vt:lpstr>Cattle barn_Slurry</vt:lpstr>
      <vt:lpstr>Cattle barn litter</vt:lpstr>
      <vt:lpstr>References</vt:lpstr>
    </vt:vector>
  </TitlesOfParts>
  <Company>Aarhus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Sven Gjedde Sommer</dc:creator>
  <cp:lastModifiedBy>Sven Gjedde Sommer</cp:lastModifiedBy>
  <dcterms:created xsi:type="dcterms:W3CDTF">2018-08-16T13:05:01Z</dcterms:created>
  <dcterms:modified xsi:type="dcterms:W3CDTF">2019-06-17T13:01:22Z</dcterms:modified>
</cp:coreProperties>
</file>