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0" yWindow="0" windowWidth="19608" windowHeight="9192" tabRatio="853"/>
  </bookViews>
  <sheets>
    <sheet name="Orig File Snow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D40" i="1" l="1"/>
  <c r="BD39" i="1"/>
  <c r="BD38" i="1"/>
  <c r="BD37" i="1"/>
  <c r="BD36" i="1"/>
  <c r="BD35" i="1"/>
  <c r="BD34" i="1"/>
  <c r="BD33" i="1"/>
  <c r="BD32" i="1"/>
  <c r="BD31" i="1"/>
  <c r="BD30" i="1"/>
  <c r="BD29" i="1"/>
  <c r="BD28" i="1"/>
  <c r="BD27" i="1"/>
  <c r="BD26" i="1"/>
  <c r="BD25" i="1"/>
  <c r="BD24" i="1"/>
  <c r="BD23" i="1"/>
  <c r="BD22" i="1"/>
  <c r="BD21" i="1"/>
  <c r="BD20" i="1"/>
  <c r="BD19" i="1"/>
  <c r="BD18" i="1"/>
  <c r="BD17" i="1"/>
  <c r="BD16" i="1"/>
  <c r="BD15" i="1"/>
  <c r="BD14" i="1"/>
  <c r="BD13" i="1"/>
  <c r="BD12" i="1"/>
  <c r="BD11" i="1"/>
  <c r="BD10" i="1"/>
  <c r="BD9" i="1"/>
  <c r="BD8" i="1"/>
  <c r="BD7" i="1"/>
  <c r="BD6" i="1"/>
  <c r="BD5" i="1"/>
  <c r="AG12" i="1"/>
  <c r="AK12" i="1"/>
  <c r="AQ12" i="1"/>
  <c r="AS12" i="1"/>
  <c r="G12" i="1"/>
  <c r="O12" i="1"/>
  <c r="Q12" i="1"/>
  <c r="S12" i="1"/>
  <c r="I12" i="1"/>
  <c r="K12" i="1"/>
  <c r="M12" i="1"/>
  <c r="AX12" i="1"/>
  <c r="AI12" i="1"/>
  <c r="AC12" i="1"/>
  <c r="Y12" i="1"/>
  <c r="W12" i="1"/>
  <c r="U12" i="1"/>
  <c r="AG9" i="1"/>
  <c r="AK9" i="1"/>
  <c r="AQ9" i="1"/>
  <c r="AS9" i="1"/>
  <c r="G9" i="1"/>
  <c r="O9" i="1"/>
  <c r="Q9" i="1"/>
  <c r="S9" i="1"/>
  <c r="I9" i="1"/>
  <c r="K9" i="1"/>
  <c r="M9" i="1"/>
  <c r="AX9" i="1"/>
  <c r="AI9" i="1"/>
  <c r="AC9" i="1"/>
  <c r="Y9" i="1"/>
  <c r="W9" i="1"/>
  <c r="AG8" i="1"/>
  <c r="AK8" i="1"/>
  <c r="AQ8" i="1"/>
  <c r="AS8" i="1"/>
  <c r="G8" i="1"/>
  <c r="O8" i="1"/>
  <c r="Q8" i="1"/>
  <c r="S8" i="1"/>
  <c r="I8" i="1"/>
  <c r="K8" i="1"/>
  <c r="M8" i="1"/>
  <c r="AX8" i="1"/>
  <c r="AI8" i="1"/>
  <c r="AC8" i="1"/>
  <c r="Y8" i="1"/>
  <c r="W8" i="1"/>
  <c r="U8" i="1"/>
  <c r="AG7" i="1"/>
  <c r="AK7" i="1"/>
  <c r="AQ7" i="1"/>
  <c r="G7" i="1"/>
  <c r="O7" i="1"/>
  <c r="Q7" i="1"/>
  <c r="S7" i="1"/>
  <c r="I7" i="1"/>
  <c r="K7" i="1"/>
  <c r="M7" i="1"/>
  <c r="AX7" i="1"/>
  <c r="AI7" i="1"/>
  <c r="AC7" i="1"/>
  <c r="Y7" i="1"/>
  <c r="W7" i="1"/>
  <c r="U7" i="1"/>
  <c r="AG6" i="1"/>
  <c r="AK6" i="1"/>
  <c r="AQ6" i="1"/>
  <c r="AS6" i="1"/>
  <c r="G6" i="1"/>
  <c r="O6" i="1"/>
  <c r="Q6" i="1"/>
  <c r="S6" i="1"/>
  <c r="I6" i="1"/>
  <c r="K6" i="1"/>
  <c r="M6" i="1"/>
  <c r="AX6" i="1"/>
  <c r="AI6" i="1"/>
  <c r="AE6" i="1"/>
  <c r="AC6" i="1"/>
  <c r="AA6" i="1"/>
  <c r="Y6" i="1"/>
  <c r="W6" i="1"/>
  <c r="U6" i="1"/>
  <c r="G10" i="1"/>
  <c r="I10" i="1"/>
  <c r="K10" i="1"/>
  <c r="M10" i="1"/>
  <c r="O10" i="1"/>
  <c r="Q10" i="1"/>
  <c r="S10" i="1"/>
  <c r="U10" i="1"/>
  <c r="W10" i="1"/>
  <c r="Y10" i="1"/>
  <c r="AA10" i="1"/>
  <c r="AC10" i="1"/>
  <c r="AE10" i="1"/>
  <c r="AG10" i="1"/>
  <c r="AI10" i="1"/>
  <c r="AK10" i="1"/>
  <c r="AQ10" i="1"/>
  <c r="AS10" i="1"/>
  <c r="AX10" i="1"/>
  <c r="G20" i="1"/>
  <c r="I20" i="1"/>
  <c r="K20" i="1"/>
  <c r="M20" i="1"/>
  <c r="O20" i="1"/>
  <c r="Q20" i="1"/>
  <c r="U20" i="1"/>
  <c r="W20" i="1"/>
  <c r="Y20" i="1"/>
  <c r="AC20" i="1"/>
  <c r="AE20" i="1"/>
  <c r="AG20" i="1"/>
  <c r="AI20" i="1"/>
  <c r="AK20" i="1"/>
  <c r="AQ20" i="1"/>
  <c r="AS20" i="1"/>
  <c r="AX20" i="1"/>
  <c r="G23" i="1"/>
  <c r="I23" i="1"/>
  <c r="K23" i="1"/>
  <c r="M23" i="1"/>
  <c r="O23" i="1"/>
  <c r="Q23" i="1"/>
  <c r="U23" i="1"/>
  <c r="Y23" i="1"/>
  <c r="AC23" i="1"/>
  <c r="AG23" i="1"/>
  <c r="AI23" i="1"/>
  <c r="AK23" i="1"/>
  <c r="AQ23" i="1"/>
  <c r="AS23" i="1"/>
  <c r="AX23" i="1"/>
  <c r="G24" i="1"/>
  <c r="I24" i="1"/>
  <c r="K24" i="1"/>
  <c r="M24" i="1"/>
  <c r="O24" i="1"/>
  <c r="Q24" i="1"/>
  <c r="U24" i="1"/>
  <c r="W24" i="1"/>
  <c r="Y24" i="1"/>
  <c r="AC24" i="1"/>
  <c r="AE24" i="1"/>
  <c r="AG24" i="1"/>
  <c r="AI24" i="1"/>
  <c r="AK24" i="1"/>
  <c r="AQ24" i="1"/>
  <c r="AS24" i="1"/>
  <c r="AX24" i="1"/>
  <c r="AX40" i="1"/>
  <c r="AS40" i="1"/>
  <c r="AQ40" i="1"/>
  <c r="AK40" i="1"/>
  <c r="AI40" i="1"/>
  <c r="AG40" i="1"/>
  <c r="AC40" i="1"/>
  <c r="Y40" i="1"/>
  <c r="W40" i="1"/>
  <c r="U40" i="1"/>
  <c r="Q40" i="1"/>
  <c r="O40" i="1"/>
  <c r="M40" i="1"/>
  <c r="K40" i="1"/>
  <c r="I40" i="1"/>
  <c r="G40" i="1"/>
  <c r="AX39" i="1"/>
  <c r="AS39" i="1"/>
  <c r="AQ39" i="1"/>
  <c r="AK39" i="1"/>
  <c r="AI39" i="1"/>
  <c r="AG39" i="1"/>
  <c r="AE39" i="1"/>
  <c r="AC39" i="1"/>
  <c r="Y39" i="1"/>
  <c r="U39" i="1"/>
  <c r="Q39" i="1"/>
  <c r="O39" i="1"/>
  <c r="M39" i="1"/>
  <c r="K39" i="1"/>
  <c r="I39" i="1"/>
  <c r="AX38" i="1"/>
  <c r="AS38" i="1"/>
  <c r="AQ38" i="1"/>
  <c r="AK38" i="1"/>
  <c r="AI38" i="1"/>
  <c r="AG38" i="1"/>
  <c r="AC38" i="1"/>
  <c r="AA38" i="1"/>
  <c r="Y38" i="1"/>
  <c r="U38" i="1"/>
  <c r="S38" i="1"/>
  <c r="Q38" i="1"/>
  <c r="O38" i="1"/>
  <c r="M38" i="1"/>
  <c r="K38" i="1"/>
  <c r="I38" i="1"/>
  <c r="G38" i="1"/>
  <c r="AX37" i="1"/>
  <c r="AS37" i="1"/>
  <c r="AQ37" i="1"/>
  <c r="AO37" i="1"/>
  <c r="AK37" i="1"/>
  <c r="AI37" i="1"/>
  <c r="AG37" i="1"/>
  <c r="AE37" i="1"/>
  <c r="AC37" i="1"/>
  <c r="Y37" i="1"/>
  <c r="U37" i="1"/>
  <c r="S37" i="1"/>
  <c r="Q37" i="1"/>
  <c r="O37" i="1"/>
  <c r="M37" i="1"/>
  <c r="K37" i="1"/>
  <c r="I37" i="1"/>
  <c r="G37" i="1"/>
  <c r="AX36" i="1"/>
  <c r="AS36" i="1"/>
  <c r="AQ36" i="1"/>
  <c r="AO36" i="1"/>
  <c r="AK36" i="1"/>
  <c r="AI36" i="1"/>
  <c r="AG36" i="1"/>
  <c r="AC36" i="1"/>
  <c r="Y36" i="1"/>
  <c r="U36" i="1"/>
  <c r="S36" i="1"/>
  <c r="Q36" i="1"/>
  <c r="O36" i="1"/>
  <c r="M36" i="1"/>
  <c r="K36" i="1"/>
  <c r="I36" i="1"/>
  <c r="G36" i="1"/>
  <c r="AX35" i="1"/>
  <c r="AS35" i="1"/>
  <c r="AQ35" i="1"/>
  <c r="AO35" i="1"/>
  <c r="AM35" i="1"/>
  <c r="AK35" i="1"/>
  <c r="AI35" i="1"/>
  <c r="AG35" i="1"/>
  <c r="AE35" i="1"/>
  <c r="AC35" i="1"/>
  <c r="Y35" i="1"/>
  <c r="U35" i="1"/>
  <c r="S35" i="1"/>
  <c r="Q35" i="1"/>
  <c r="O35" i="1"/>
  <c r="M35" i="1"/>
  <c r="K35" i="1"/>
  <c r="I35" i="1"/>
  <c r="G35" i="1"/>
  <c r="AX34" i="1"/>
  <c r="AS34" i="1"/>
  <c r="AQ34" i="1"/>
  <c r="AO34" i="1"/>
  <c r="AM34" i="1"/>
  <c r="AK34" i="1"/>
  <c r="AI34" i="1"/>
  <c r="AG34" i="1"/>
  <c r="AE34" i="1"/>
  <c r="AC34" i="1"/>
  <c r="Y34" i="1"/>
  <c r="U34" i="1"/>
  <c r="S34" i="1"/>
  <c r="Q34" i="1"/>
  <c r="O34" i="1"/>
  <c r="M34" i="1"/>
  <c r="K34" i="1"/>
  <c r="I34" i="1"/>
  <c r="G34" i="1"/>
  <c r="AX33" i="1"/>
  <c r="AS33" i="1"/>
  <c r="AQ33" i="1"/>
  <c r="AO33" i="1"/>
  <c r="AM33" i="1"/>
  <c r="AK33" i="1"/>
  <c r="AI33" i="1"/>
  <c r="AG33" i="1"/>
  <c r="AE33" i="1"/>
  <c r="AC33" i="1"/>
  <c r="Y33" i="1"/>
  <c r="U33" i="1"/>
  <c r="S33" i="1"/>
  <c r="Q33" i="1"/>
  <c r="O33" i="1"/>
  <c r="M33" i="1"/>
  <c r="K33" i="1"/>
  <c r="I33" i="1"/>
  <c r="G33" i="1"/>
  <c r="AX32" i="1"/>
  <c r="AS32" i="1"/>
  <c r="AQ32" i="1"/>
  <c r="AO32" i="1"/>
  <c r="AM32" i="1"/>
  <c r="AK32" i="1"/>
  <c r="AI32" i="1"/>
  <c r="AG32" i="1"/>
  <c r="AE32" i="1"/>
  <c r="AC32" i="1"/>
  <c r="Y32" i="1"/>
  <c r="U32" i="1"/>
  <c r="S32" i="1"/>
  <c r="Q32" i="1"/>
  <c r="O32" i="1"/>
  <c r="M32" i="1"/>
  <c r="K32" i="1"/>
  <c r="I32" i="1"/>
  <c r="G32" i="1"/>
  <c r="AX31" i="1"/>
  <c r="AS31" i="1"/>
  <c r="AQ31" i="1"/>
  <c r="AO31" i="1"/>
  <c r="AK31" i="1"/>
  <c r="AI31" i="1"/>
  <c r="AG31" i="1"/>
  <c r="AE31" i="1"/>
  <c r="AC31" i="1"/>
  <c r="Y31" i="1"/>
  <c r="U31" i="1"/>
  <c r="S31" i="1"/>
  <c r="Q31" i="1"/>
  <c r="O31" i="1"/>
  <c r="M31" i="1"/>
  <c r="K31" i="1"/>
  <c r="I31" i="1"/>
  <c r="G31" i="1"/>
  <c r="AX30" i="1"/>
  <c r="AS30" i="1"/>
  <c r="AQ30" i="1"/>
  <c r="AO30" i="1"/>
  <c r="AM30" i="1"/>
  <c r="AK30" i="1"/>
  <c r="AI30" i="1"/>
  <c r="AG30" i="1"/>
  <c r="AE30" i="1"/>
  <c r="AC30" i="1"/>
  <c r="Y30" i="1"/>
  <c r="U30" i="1"/>
  <c r="S30" i="1"/>
  <c r="Q30" i="1"/>
  <c r="O30" i="1"/>
  <c r="M30" i="1"/>
  <c r="K30" i="1"/>
  <c r="I30" i="1"/>
  <c r="G30" i="1"/>
  <c r="AX29" i="1"/>
  <c r="AS29" i="1"/>
  <c r="AQ29" i="1"/>
  <c r="AK29" i="1"/>
  <c r="AI29" i="1"/>
  <c r="AG29" i="1"/>
  <c r="AE29" i="1"/>
  <c r="AC29" i="1"/>
  <c r="Y29" i="1"/>
  <c r="U29" i="1"/>
  <c r="Q29" i="1"/>
  <c r="O29" i="1"/>
  <c r="M29" i="1"/>
  <c r="K29" i="1"/>
  <c r="I29" i="1"/>
  <c r="G29" i="1"/>
  <c r="AX28" i="1"/>
  <c r="AS28" i="1"/>
  <c r="AQ28" i="1"/>
  <c r="AO28" i="1"/>
  <c r="AK28" i="1"/>
  <c r="AI28" i="1"/>
  <c r="AG28" i="1"/>
  <c r="AE28" i="1"/>
  <c r="AC28" i="1"/>
  <c r="Y28" i="1"/>
  <c r="U28" i="1"/>
  <c r="S28" i="1"/>
  <c r="Q28" i="1"/>
  <c r="O28" i="1"/>
  <c r="M28" i="1"/>
  <c r="K28" i="1"/>
  <c r="I28" i="1"/>
  <c r="G28" i="1"/>
  <c r="AX27" i="1"/>
  <c r="AS27" i="1"/>
  <c r="AQ27" i="1"/>
  <c r="AO27" i="1"/>
  <c r="AK27" i="1"/>
  <c r="AI27" i="1"/>
  <c r="AG27" i="1"/>
  <c r="AE27" i="1"/>
  <c r="AC27" i="1"/>
  <c r="Y27" i="1"/>
  <c r="U27" i="1"/>
  <c r="S27" i="1"/>
  <c r="Q27" i="1"/>
  <c r="O27" i="1"/>
  <c r="M27" i="1"/>
  <c r="K27" i="1"/>
  <c r="I27" i="1"/>
  <c r="G27" i="1"/>
  <c r="AX26" i="1"/>
  <c r="AS26" i="1"/>
  <c r="AQ26" i="1"/>
  <c r="AO26" i="1"/>
  <c r="AK26" i="1"/>
  <c r="AI26" i="1"/>
  <c r="AG26" i="1"/>
  <c r="AE26" i="1"/>
  <c r="AC26" i="1"/>
  <c r="AA26" i="1"/>
  <c r="Y26" i="1"/>
  <c r="W26" i="1"/>
  <c r="U26" i="1"/>
  <c r="S26" i="1"/>
  <c r="Q26" i="1"/>
  <c r="O26" i="1"/>
  <c r="M26" i="1"/>
  <c r="K26" i="1"/>
  <c r="I26" i="1"/>
  <c r="G26" i="1"/>
  <c r="AX25" i="1"/>
  <c r="AS25" i="1"/>
  <c r="AQ25" i="1"/>
  <c r="AK25" i="1"/>
  <c r="AI25" i="1"/>
  <c r="AG25" i="1"/>
  <c r="AE25" i="1"/>
  <c r="AC25" i="1"/>
  <c r="Y25" i="1"/>
  <c r="W25" i="1"/>
  <c r="U25" i="1"/>
  <c r="Q25" i="1"/>
  <c r="O25" i="1"/>
  <c r="M25" i="1"/>
  <c r="K25" i="1"/>
  <c r="I25" i="1"/>
  <c r="G25" i="1"/>
  <c r="AX22" i="1"/>
  <c r="AS22" i="1"/>
  <c r="AQ22" i="1"/>
  <c r="AK22" i="1"/>
  <c r="AI22" i="1"/>
  <c r="AG22" i="1"/>
  <c r="AC22" i="1"/>
  <c r="Y22" i="1"/>
  <c r="U22" i="1"/>
  <c r="Q22" i="1"/>
  <c r="O22" i="1"/>
  <c r="M22" i="1"/>
  <c r="K22" i="1"/>
  <c r="I22" i="1"/>
  <c r="G22" i="1"/>
  <c r="AX21" i="1"/>
  <c r="AS21" i="1"/>
  <c r="AQ21" i="1"/>
  <c r="AK21" i="1"/>
  <c r="AI21" i="1"/>
  <c r="AG21" i="1"/>
  <c r="AE21" i="1"/>
  <c r="AC21" i="1"/>
  <c r="Y21" i="1"/>
  <c r="U21" i="1"/>
  <c r="S21" i="1"/>
  <c r="Q21" i="1"/>
  <c r="O21" i="1"/>
  <c r="M21" i="1"/>
  <c r="K21" i="1"/>
  <c r="I21" i="1"/>
  <c r="G21" i="1"/>
  <c r="AX19" i="1"/>
  <c r="AS19" i="1"/>
  <c r="AQ19" i="1"/>
  <c r="AK19" i="1"/>
  <c r="AI19" i="1"/>
  <c r="AG19" i="1"/>
  <c r="Y19" i="1"/>
  <c r="U19" i="1"/>
  <c r="S19" i="1"/>
  <c r="Q19" i="1"/>
  <c r="O19" i="1"/>
  <c r="M19" i="1"/>
  <c r="K19" i="1"/>
  <c r="I19" i="1"/>
  <c r="G19" i="1"/>
  <c r="AX18" i="1"/>
  <c r="AS18" i="1"/>
  <c r="AQ18" i="1"/>
  <c r="AK18" i="1"/>
  <c r="AI18" i="1"/>
  <c r="AG18" i="1"/>
  <c r="AC18" i="1"/>
  <c r="Y18" i="1"/>
  <c r="W18" i="1"/>
  <c r="U18" i="1"/>
  <c r="S18" i="1"/>
  <c r="Q18" i="1"/>
  <c r="O18" i="1"/>
  <c r="M18" i="1"/>
  <c r="K18" i="1"/>
  <c r="I18" i="1"/>
  <c r="G18" i="1"/>
  <c r="AX17" i="1"/>
  <c r="AS17" i="1"/>
  <c r="AQ17" i="1"/>
  <c r="AK17" i="1"/>
  <c r="AI17" i="1"/>
  <c r="AG17" i="1"/>
  <c r="Y17" i="1"/>
  <c r="U17" i="1"/>
  <c r="S17" i="1"/>
  <c r="Q17" i="1"/>
  <c r="O17" i="1"/>
  <c r="M17" i="1"/>
  <c r="K17" i="1"/>
  <c r="I17" i="1"/>
  <c r="G17" i="1"/>
  <c r="AX16" i="1"/>
  <c r="AS16" i="1"/>
  <c r="AQ16" i="1"/>
  <c r="AK16" i="1"/>
  <c r="AI16" i="1"/>
  <c r="AG16" i="1"/>
  <c r="AC16" i="1"/>
  <c r="Y16" i="1"/>
  <c r="U16" i="1"/>
  <c r="S16" i="1"/>
  <c r="Q16" i="1"/>
  <c r="O16" i="1"/>
  <c r="M16" i="1"/>
  <c r="K16" i="1"/>
  <c r="I16" i="1"/>
  <c r="G16" i="1"/>
  <c r="AX15" i="1"/>
  <c r="AQ15" i="1"/>
  <c r="AM15" i="1"/>
  <c r="AK15" i="1"/>
  <c r="AI15" i="1"/>
  <c r="AG15" i="1"/>
  <c r="AC15" i="1"/>
  <c r="Y15" i="1"/>
  <c r="U15" i="1"/>
  <c r="S15" i="1"/>
  <c r="Q15" i="1"/>
  <c r="O15" i="1"/>
  <c r="M15" i="1"/>
  <c r="K15" i="1"/>
  <c r="I15" i="1"/>
  <c r="G15" i="1"/>
  <c r="AX14" i="1"/>
  <c r="AS14" i="1"/>
  <c r="AQ14" i="1"/>
  <c r="AK14" i="1"/>
  <c r="AI14" i="1"/>
  <c r="AG14" i="1"/>
  <c r="AE14" i="1"/>
  <c r="AC14" i="1"/>
  <c r="Y14" i="1"/>
  <c r="U14" i="1"/>
  <c r="S14" i="1"/>
  <c r="Q14" i="1"/>
  <c r="O14" i="1"/>
  <c r="M14" i="1"/>
  <c r="K14" i="1"/>
  <c r="I14" i="1"/>
  <c r="G14" i="1"/>
  <c r="AX13" i="1"/>
  <c r="AS13" i="1"/>
  <c r="AQ13" i="1"/>
  <c r="AO13" i="1"/>
  <c r="AK13" i="1"/>
  <c r="AI13" i="1"/>
  <c r="AG13" i="1"/>
  <c r="AE13" i="1"/>
  <c r="AC13" i="1"/>
  <c r="Y13" i="1"/>
  <c r="W13" i="1"/>
  <c r="U13" i="1"/>
  <c r="S13" i="1"/>
  <c r="Q13" i="1"/>
  <c r="O13" i="1"/>
  <c r="M13" i="1"/>
  <c r="K13" i="1"/>
  <c r="I13" i="1"/>
  <c r="G13" i="1"/>
  <c r="AX11" i="1"/>
  <c r="AS11" i="1"/>
  <c r="AQ11" i="1"/>
  <c r="AK11" i="1"/>
  <c r="AI11" i="1"/>
  <c r="AG11" i="1"/>
  <c r="AE11" i="1"/>
  <c r="AC11" i="1"/>
  <c r="Y11" i="1"/>
  <c r="W11" i="1"/>
  <c r="U11" i="1"/>
  <c r="S11" i="1"/>
  <c r="Q11" i="1"/>
  <c r="O11" i="1"/>
  <c r="M11" i="1"/>
  <c r="K11" i="1"/>
  <c r="I11" i="1"/>
  <c r="G11" i="1"/>
  <c r="AX5" i="1"/>
  <c r="AS5" i="1"/>
  <c r="AQ5" i="1"/>
  <c r="AK5" i="1"/>
  <c r="AI5" i="1"/>
  <c r="AG5" i="1"/>
  <c r="AE5" i="1"/>
  <c r="AC5" i="1"/>
  <c r="AA5" i="1"/>
  <c r="Y5" i="1"/>
  <c r="W5" i="1"/>
  <c r="U5" i="1"/>
  <c r="Q5" i="1"/>
  <c r="O5" i="1"/>
  <c r="M5" i="1"/>
  <c r="K5" i="1"/>
  <c r="I5" i="1"/>
  <c r="G5" i="1"/>
</calcChain>
</file>

<file path=xl/sharedStrings.xml><?xml version="1.0" encoding="utf-8"?>
<sst xmlns="http://schemas.openxmlformats.org/spreadsheetml/2006/main" count="419" uniqueCount="85">
  <si>
    <t>Sample Name</t>
  </si>
  <si>
    <t xml:space="preserve">Amount </t>
  </si>
  <si>
    <t>Particules/ml</t>
  </si>
  <si>
    <t>± S.D.</t>
  </si>
  <si>
    <t>Masse Tot.</t>
  </si>
  <si>
    <t>m/p</t>
  </si>
  <si>
    <t>THg</t>
  </si>
  <si>
    <t>pH</t>
  </si>
  <si>
    <t/>
  </si>
  <si>
    <t>ppb</t>
  </si>
  <si>
    <t>ppt</t>
  </si>
  <si>
    <t>ng/L</t>
  </si>
  <si>
    <t>Lithium</t>
  </si>
  <si>
    <t>Sodium</t>
  </si>
  <si>
    <t>Ammonium</t>
  </si>
  <si>
    <t>Potassium</t>
  </si>
  <si>
    <t>Magnesium</t>
  </si>
  <si>
    <t>Calcium</t>
  </si>
  <si>
    <t>Strontium</t>
  </si>
  <si>
    <t>Fluor</t>
  </si>
  <si>
    <t>Lactate</t>
  </si>
  <si>
    <t>Acetate</t>
  </si>
  <si>
    <t>Propionate</t>
  </si>
  <si>
    <t>Formate</t>
  </si>
  <si>
    <t>MSA</t>
  </si>
  <si>
    <t>Nitrate</t>
  </si>
  <si>
    <t>Glutarate</t>
  </si>
  <si>
    <t>Succinate</t>
  </si>
  <si>
    <t>Sulfate</t>
  </si>
  <si>
    <t>Oxalate</t>
  </si>
  <si>
    <t>&lt;DL</t>
  </si>
  <si>
    <t>CH3N-01</t>
  </si>
  <si>
    <t>CH3N-07</t>
  </si>
  <si>
    <t>CH3N-08</t>
  </si>
  <si>
    <t>CH3N-12</t>
  </si>
  <si>
    <t>CH3N-13</t>
  </si>
  <si>
    <t>CH3N-18</t>
  </si>
  <si>
    <t>CH3N-21</t>
  </si>
  <si>
    <t>CH3N-22</t>
  </si>
  <si>
    <t>CH3N-23</t>
  </si>
  <si>
    <t>CH3N-25</t>
  </si>
  <si>
    <t>CH3N-28</t>
  </si>
  <si>
    <t>CH3N-30</t>
  </si>
  <si>
    <t>CH3N-33</t>
  </si>
  <si>
    <t>CH3N-36</t>
  </si>
  <si>
    <t>CH3N-37</t>
  </si>
  <si>
    <t>CH3N-40</t>
  </si>
  <si>
    <t>CH3N-41</t>
  </si>
  <si>
    <t>CH3N-43</t>
  </si>
  <si>
    <t>CH3N-47</t>
  </si>
  <si>
    <t>CH3N-48</t>
  </si>
  <si>
    <t>CH3N-52</t>
  </si>
  <si>
    <t>CH3N-54</t>
  </si>
  <si>
    <t>CH3N-56</t>
  </si>
  <si>
    <t>CH3N-57</t>
  </si>
  <si>
    <t>CH3N-58</t>
  </si>
  <si>
    <t>CH3N-62</t>
  </si>
  <si>
    <t>CH3N-65</t>
  </si>
  <si>
    <t>CH3N-66</t>
  </si>
  <si>
    <t>CH3N-72</t>
  </si>
  <si>
    <t>CH3N-74</t>
  </si>
  <si>
    <t>CH3N-76</t>
  </si>
  <si>
    <t>Conc.</t>
  </si>
  <si>
    <t>nmol/kg</t>
  </si>
  <si>
    <t>µmol/kg</t>
  </si>
  <si>
    <t>SURFACE</t>
  </si>
  <si>
    <t>NA</t>
  </si>
  <si>
    <t>sampling date</t>
  </si>
  <si>
    <t>snow layer</t>
  </si>
  <si>
    <t>Sequencing</t>
  </si>
  <si>
    <t>Metagenomic + Metatranscriptomic</t>
  </si>
  <si>
    <t>YES</t>
  </si>
  <si>
    <t>CH3N-02</t>
  </si>
  <si>
    <t>LAYER 2</t>
  </si>
  <si>
    <t>CH3N-03</t>
  </si>
  <si>
    <t>LAYER 3</t>
  </si>
  <si>
    <t>CH3N-05</t>
  </si>
  <si>
    <t>BASAL</t>
  </si>
  <si>
    <t>CH3N-04</t>
  </si>
  <si>
    <t>LAYER 4</t>
  </si>
  <si>
    <t>NO</t>
  </si>
  <si>
    <t>CH3N-10</t>
  </si>
  <si>
    <t>Bromide</t>
  </si>
  <si>
    <t>Chloride</t>
  </si>
  <si>
    <t xml:space="preserve">16S rRNA gene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</si>
</sst>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€_-;\-* #,##0.00\ _€_-;_-* &quot;-&quot;??\ _€_-;_-@_-"/>
    <numFmt numFmtId="164" formatCode="#,##0.00_ ;[Red]\-#,##0.00\ "/>
    <numFmt numFmtId="165" formatCode="0.00_ ;[Red]\-0.00\ "/>
    <numFmt numFmtId="166" formatCode="0_ ;[Red]\-0\ "/>
    <numFmt numFmtId="167" formatCode="0.0_ ;[Red]\-0.0\ "/>
    <numFmt numFmtId="168" formatCode="0.0"/>
    <numFmt numFmtId="169" formatCode="0.0000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b/>
      <i/>
      <sz val="10"/>
      <name val="Arial"/>
      <family val="2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2D050"/>
      <name val="Calibri"/>
      <family val="2"/>
      <scheme val="minor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0" fillId="6" borderId="0" applyNumberFormat="0" applyBorder="0" applyAlignment="0" applyProtection="0"/>
  </cellStyleXfs>
  <cellXfs count="85">
    <xf numFmtId="0" fontId="0" fillId="0" borderId="0" xfId="0"/>
    <xf numFmtId="0" fontId="6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6" fillId="0" borderId="1" xfId="0" applyFont="1" applyFill="1" applyBorder="1"/>
    <xf numFmtId="169" fontId="9" fillId="0" borderId="1" xfId="0" applyNumberFormat="1" applyFont="1" applyFill="1" applyBorder="1"/>
    <xf numFmtId="0" fontId="9" fillId="0" borderId="1" xfId="0" applyFont="1" applyFill="1" applyBorder="1"/>
    <xf numFmtId="0" fontId="0" fillId="0" borderId="0" xfId="0" applyFill="1"/>
    <xf numFmtId="0" fontId="0" fillId="0" borderId="0" xfId="0" applyFill="1" applyBorder="1"/>
    <xf numFmtId="166" fontId="0" fillId="0" borderId="1" xfId="0" applyNumberFormat="1" applyFill="1" applyBorder="1"/>
    <xf numFmtId="165" fontId="3" fillId="0" borderId="1" xfId="3" applyNumberFormat="1" applyFill="1" applyBorder="1"/>
    <xf numFmtId="167" fontId="0" fillId="0" borderId="1" xfId="0" applyNumberFormat="1" applyFill="1" applyBorder="1"/>
    <xf numFmtId="0" fontId="0" fillId="0" borderId="1" xfId="0" applyFill="1" applyBorder="1"/>
    <xf numFmtId="0" fontId="4" fillId="0" borderId="0" xfId="0" applyFont="1" applyFill="1" applyAlignment="1">
      <alignment horizontal="center"/>
    </xf>
    <xf numFmtId="0" fontId="0" fillId="0" borderId="2" xfId="0" applyFill="1" applyBorder="1"/>
    <xf numFmtId="0" fontId="0" fillId="4" borderId="0" xfId="0" applyFill="1" applyBorder="1"/>
    <xf numFmtId="0" fontId="0" fillId="5" borderId="0" xfId="0" applyFill="1" applyBorder="1"/>
    <xf numFmtId="169" fontId="9" fillId="5" borderId="1" xfId="0" applyNumberFormat="1" applyFont="1" applyFill="1" applyBorder="1"/>
    <xf numFmtId="0" fontId="5" fillId="7" borderId="0" xfId="0" applyNumberFormat="1" applyFont="1" applyFill="1" applyBorder="1" applyAlignment="1">
      <alignment horizontal="left" vertical="center"/>
    </xf>
    <xf numFmtId="0" fontId="7" fillId="7" borderId="0" xfId="0" applyNumberFormat="1" applyFont="1" applyFill="1" applyBorder="1" applyAlignment="1">
      <alignment horizontal="center" vertical="center"/>
    </xf>
    <xf numFmtId="0" fontId="7" fillId="7" borderId="0" xfId="0" applyNumberFormat="1" applyFont="1" applyFill="1" applyBorder="1" applyAlignment="1">
      <alignment horizontal="left" vertical="center"/>
    </xf>
    <xf numFmtId="164" fontId="7" fillId="7" borderId="0" xfId="1" applyNumberFormat="1" applyFont="1" applyFill="1" applyBorder="1" applyAlignment="1">
      <alignment horizontal="center" vertical="center"/>
    </xf>
    <xf numFmtId="164" fontId="7" fillId="7" borderId="2" xfId="1" applyNumberFormat="1" applyFont="1" applyFill="1" applyBorder="1" applyAlignment="1">
      <alignment horizontal="center" vertical="center"/>
    </xf>
    <xf numFmtId="165" fontId="7" fillId="7" borderId="0" xfId="1" applyNumberFormat="1" applyFont="1" applyFill="1" applyBorder="1" applyAlignment="1">
      <alignment horizontal="center" vertical="center"/>
    </xf>
    <xf numFmtId="168" fontId="6" fillId="7" borderId="0" xfId="0" applyNumberFormat="1" applyFont="1" applyFill="1" applyBorder="1" applyAlignment="1">
      <alignment horizontal="left"/>
    </xf>
    <xf numFmtId="166" fontId="9" fillId="7" borderId="1" xfId="0" applyNumberFormat="1" applyFont="1" applyFill="1" applyBorder="1"/>
    <xf numFmtId="165" fontId="9" fillId="7" borderId="1" xfId="3" applyNumberFormat="1" applyFont="1" applyFill="1" applyBorder="1"/>
    <xf numFmtId="167" fontId="9" fillId="7" borderId="1" xfId="0" applyNumberFormat="1" applyFont="1" applyFill="1" applyBorder="1"/>
    <xf numFmtId="166" fontId="6" fillId="7" borderId="1" xfId="0" applyNumberFormat="1" applyFont="1" applyFill="1" applyBorder="1" applyAlignment="1">
      <alignment horizontal="center"/>
    </xf>
    <xf numFmtId="165" fontId="9" fillId="7" borderId="1" xfId="3" applyNumberFormat="1" applyFont="1" applyFill="1" applyBorder="1" applyAlignment="1">
      <alignment horizontal="center"/>
    </xf>
    <xf numFmtId="167" fontId="6" fillId="7" borderId="1" xfId="0" applyNumberFormat="1" applyFont="1" applyFill="1" applyBorder="1" applyAlignment="1">
      <alignment horizontal="center"/>
    </xf>
    <xf numFmtId="14" fontId="9" fillId="7" borderId="0" xfId="0" applyNumberFormat="1" applyFont="1" applyFill="1" applyBorder="1" applyAlignment="1">
      <alignment horizontal="left" vertical="center"/>
    </xf>
    <xf numFmtId="0" fontId="6" fillId="7" borderId="0" xfId="0" applyNumberFormat="1" applyFont="1" applyFill="1" applyBorder="1" applyAlignment="1">
      <alignment horizontal="left" vertical="center"/>
    </xf>
    <xf numFmtId="165" fontId="9" fillId="7" borderId="0" xfId="1" applyNumberFormat="1" applyFont="1" applyFill="1" applyBorder="1" applyAlignment="1">
      <alignment horizontal="right" vertical="center"/>
    </xf>
    <xf numFmtId="165" fontId="9" fillId="7" borderId="2" xfId="1" applyNumberFormat="1" applyFont="1" applyFill="1" applyBorder="1" applyAlignment="1">
      <alignment horizontal="right" vertical="center"/>
    </xf>
    <xf numFmtId="165" fontId="9" fillId="7" borderId="0" xfId="1" applyNumberFormat="1" applyFont="1" applyFill="1" applyBorder="1" applyAlignment="1">
      <alignment horizontal="center" vertical="center"/>
    </xf>
    <xf numFmtId="165" fontId="9" fillId="7" borderId="2" xfId="1" applyNumberFormat="1" applyFont="1" applyFill="1" applyBorder="1" applyAlignment="1">
      <alignment horizontal="center" vertical="center"/>
    </xf>
    <xf numFmtId="166" fontId="9" fillId="7" borderId="0" xfId="0" applyNumberFormat="1" applyFont="1" applyFill="1" applyBorder="1" applyAlignment="1">
      <alignment horizontal="left"/>
    </xf>
    <xf numFmtId="168" fontId="9" fillId="7" borderId="0" xfId="0" applyNumberFormat="1" applyFont="1" applyFill="1" applyBorder="1" applyAlignment="1">
      <alignment horizontal="left"/>
    </xf>
    <xf numFmtId="165" fontId="5" fillId="7" borderId="0" xfId="1" applyNumberFormat="1" applyFont="1" applyFill="1" applyBorder="1" applyAlignment="1">
      <alignment horizontal="center" vertical="center"/>
    </xf>
    <xf numFmtId="164" fontId="5" fillId="7" borderId="0" xfId="1" applyNumberFormat="1" applyFont="1" applyFill="1" applyBorder="1" applyAlignment="1">
      <alignment horizontal="center" vertical="center"/>
    </xf>
    <xf numFmtId="164" fontId="5" fillId="7" borderId="2" xfId="1" applyNumberFormat="1" applyFont="1" applyFill="1" applyBorder="1" applyAlignment="1">
      <alignment horizontal="center" vertical="center"/>
    </xf>
    <xf numFmtId="0" fontId="5" fillId="7" borderId="0" xfId="0" applyNumberFormat="1" applyFont="1" applyFill="1" applyBorder="1" applyAlignment="1">
      <alignment horizontal="center" vertical="center"/>
    </xf>
    <xf numFmtId="0" fontId="7" fillId="7" borderId="0" xfId="0" applyNumberFormat="1" applyFont="1" applyFill="1" applyBorder="1" applyAlignment="1">
      <alignment horizontal="center" vertical="justify"/>
    </xf>
    <xf numFmtId="14" fontId="0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165" fontId="0" fillId="0" borderId="0" xfId="1" applyNumberFormat="1" applyFont="1" applyFill="1" applyBorder="1" applyAlignment="1">
      <alignment horizontal="right" vertical="center"/>
    </xf>
    <xf numFmtId="165" fontId="0" fillId="0" borderId="2" xfId="1" applyNumberFormat="1" applyFont="1" applyFill="1" applyBorder="1" applyAlignment="1">
      <alignment horizontal="right" vertical="center"/>
    </xf>
    <xf numFmtId="165" fontId="0" fillId="0" borderId="0" xfId="1" applyNumberFormat="1" applyFont="1" applyFill="1" applyBorder="1" applyAlignment="1">
      <alignment horizontal="center" vertical="center"/>
    </xf>
    <xf numFmtId="165" fontId="0" fillId="0" borderId="2" xfId="1" applyNumberFormat="1" applyFont="1" applyFill="1" applyBorder="1" applyAlignment="1">
      <alignment horizontal="center" vertical="center"/>
    </xf>
    <xf numFmtId="166" fontId="0" fillId="0" borderId="0" xfId="0" applyNumberFormat="1" applyFill="1" applyBorder="1" applyAlignment="1">
      <alignment horizontal="left"/>
    </xf>
    <xf numFmtId="168" fontId="0" fillId="0" borderId="0" xfId="0" applyNumberFormat="1" applyFill="1" applyBorder="1" applyAlignment="1">
      <alignment horizontal="left"/>
    </xf>
    <xf numFmtId="14" fontId="0" fillId="0" borderId="0" xfId="0" applyNumberFormat="1" applyFont="1" applyBorder="1" applyAlignment="1">
      <alignment horizontal="left" vertical="center"/>
    </xf>
    <xf numFmtId="0" fontId="11" fillId="7" borderId="0" xfId="4" applyNumberFormat="1" applyFont="1" applyFill="1" applyBorder="1" applyAlignment="1">
      <alignment horizontal="left" vertical="center"/>
    </xf>
    <xf numFmtId="0" fontId="12" fillId="0" borderId="0" xfId="0" applyFont="1" applyFill="1" applyBorder="1"/>
    <xf numFmtId="0" fontId="12" fillId="7" borderId="0" xfId="4" applyNumberFormat="1" applyFont="1" applyFill="1" applyBorder="1" applyAlignment="1">
      <alignment horizontal="left" vertical="center"/>
    </xf>
    <xf numFmtId="0" fontId="5" fillId="7" borderId="3" xfId="0" applyNumberFormat="1" applyFont="1" applyFill="1" applyBorder="1" applyAlignment="1">
      <alignment horizontal="center" vertical="center"/>
    </xf>
    <xf numFmtId="0" fontId="5" fillId="7" borderId="4" xfId="0" applyNumberFormat="1" applyFont="1" applyFill="1" applyBorder="1" applyAlignment="1">
      <alignment horizontal="left" vertical="center"/>
    </xf>
    <xf numFmtId="0" fontId="5" fillId="7" borderId="4" xfId="0" applyNumberFormat="1" applyFont="1" applyFill="1" applyBorder="1" applyAlignment="1">
      <alignment horizontal="center" vertical="center"/>
    </xf>
    <xf numFmtId="164" fontId="5" fillId="7" borderId="4" xfId="1" applyNumberFormat="1" applyFont="1" applyFill="1" applyBorder="1" applyAlignment="1">
      <alignment horizontal="center" vertical="center"/>
    </xf>
    <xf numFmtId="164" fontId="5" fillId="7" borderId="5" xfId="1" applyNumberFormat="1" applyFont="1" applyFill="1" applyBorder="1" applyAlignment="1">
      <alignment horizontal="center" vertical="center"/>
    </xf>
    <xf numFmtId="165" fontId="5" fillId="7" borderId="4" xfId="1" applyNumberFormat="1" applyFont="1" applyFill="1" applyBorder="1" applyAlignment="1">
      <alignment horizontal="center" vertical="center"/>
    </xf>
    <xf numFmtId="166" fontId="5" fillId="7" borderId="3" xfId="1" applyNumberFormat="1" applyFont="1" applyFill="1" applyBorder="1" applyAlignment="1">
      <alignment horizontal="center" vertical="center"/>
    </xf>
    <xf numFmtId="166" fontId="5" fillId="7" borderId="4" xfId="1" applyNumberFormat="1" applyFont="1" applyFill="1" applyBorder="1" applyAlignment="1">
      <alignment horizontal="left" vertical="center"/>
    </xf>
    <xf numFmtId="165" fontId="9" fillId="7" borderId="3" xfId="3" applyNumberFormat="1" applyFont="1" applyFill="1" applyBorder="1" applyAlignment="1">
      <alignment horizontal="center" vertical="center"/>
    </xf>
    <xf numFmtId="167" fontId="5" fillId="7" borderId="3" xfId="1" applyNumberFormat="1" applyFont="1" applyFill="1" applyBorder="1" applyAlignment="1">
      <alignment horizontal="center" vertical="center"/>
    </xf>
    <xf numFmtId="168" fontId="6" fillId="7" borderId="4" xfId="0" applyNumberFormat="1" applyFont="1" applyFill="1" applyBorder="1" applyAlignment="1">
      <alignment horizontal="left"/>
    </xf>
    <xf numFmtId="0" fontId="6" fillId="0" borderId="3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7" fillId="7" borderId="1" xfId="0" applyNumberFormat="1" applyFont="1" applyFill="1" applyBorder="1" applyAlignment="1">
      <alignment horizontal="center" vertical="center"/>
    </xf>
    <xf numFmtId="0" fontId="0" fillId="0" borderId="7" xfId="0" applyFill="1" applyBorder="1"/>
    <xf numFmtId="0" fontId="5" fillId="7" borderId="1" xfId="0" applyNumberFormat="1" applyFont="1" applyFill="1" applyBorder="1" applyAlignment="1">
      <alignment horizontal="center" vertical="center"/>
    </xf>
    <xf numFmtId="166" fontId="6" fillId="7" borderId="0" xfId="0" applyNumberFormat="1" applyFont="1" applyFill="1" applyBorder="1" applyAlignment="1">
      <alignment horizontal="left"/>
    </xf>
    <xf numFmtId="0" fontId="4" fillId="0" borderId="7" xfId="0" applyFont="1" applyFill="1" applyBorder="1" applyAlignment="1">
      <alignment horizontal="center"/>
    </xf>
    <xf numFmtId="0" fontId="9" fillId="7" borderId="1" xfId="4" applyNumberFormat="1" applyFont="1" applyFill="1" applyBorder="1" applyAlignment="1">
      <alignment horizontal="left" vertical="center"/>
    </xf>
    <xf numFmtId="0" fontId="9" fillId="7" borderId="1" xfId="2" applyNumberFormat="1" applyFont="1" applyFill="1" applyBorder="1" applyAlignment="1">
      <alignment horizontal="left" vertical="center"/>
    </xf>
    <xf numFmtId="0" fontId="0" fillId="5" borderId="7" xfId="0" applyFill="1" applyBorder="1"/>
    <xf numFmtId="0" fontId="0" fillId="0" borderId="0" xfId="0" applyFill="1" applyBorder="1" applyAlignment="1">
      <alignment horizontal="left"/>
    </xf>
    <xf numFmtId="0" fontId="11" fillId="0" borderId="0" xfId="0" applyFont="1" applyFill="1" applyBorder="1"/>
    <xf numFmtId="165" fontId="5" fillId="7" borderId="0" xfId="1" applyNumberFormat="1" applyFont="1" applyFill="1" applyBorder="1" applyAlignment="1">
      <alignment horizontal="center" vertical="center"/>
    </xf>
    <xf numFmtId="165" fontId="5" fillId="7" borderId="2" xfId="1" applyNumberFormat="1" applyFont="1" applyFill="1" applyBorder="1" applyAlignment="1">
      <alignment horizontal="center" vertical="center"/>
    </xf>
    <xf numFmtId="164" fontId="5" fillId="7" borderId="0" xfId="1" applyNumberFormat="1" applyFont="1" applyFill="1" applyBorder="1" applyAlignment="1">
      <alignment horizontal="center" vertical="center"/>
    </xf>
    <xf numFmtId="164" fontId="5" fillId="7" borderId="2" xfId="1" applyNumberFormat="1" applyFont="1" applyFill="1" applyBorder="1" applyAlignment="1">
      <alignment horizontal="center" vertical="center"/>
    </xf>
    <xf numFmtId="0" fontId="5" fillId="7" borderId="4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5" fontId="0" fillId="0" borderId="0" xfId="0" applyNumberFormat="1" applyFill="1" applyBorder="1"/>
  </cellXfs>
  <cellStyles count="5">
    <cellStyle name="Insatisfaisant" xfId="2" builtinId="27"/>
    <cellStyle name="Milliers" xfId="1" builtinId="3"/>
    <cellStyle name="Neutre" xfId="3" builtinId="28"/>
    <cellStyle name="Normal" xfId="0" builtinId="0"/>
    <cellStyle name="Satisfaisant" xfId="4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B40"/>
  <sheetViews>
    <sheetView tabSelected="1" topLeftCell="A13" workbookViewId="0">
      <selection activeCell="AL15" sqref="A15:XFD15"/>
    </sheetView>
  </sheetViews>
  <sheetFormatPr baseColWidth="10" defaultColWidth="10.88671875" defaultRowHeight="14.4" x14ac:dyDescent="0.3"/>
  <cols>
    <col min="1" max="1" width="14.44140625" style="11" bestFit="1" customWidth="1"/>
    <col min="2" max="2" width="14.44140625" style="7" customWidth="1"/>
    <col min="3" max="3" width="17.33203125" style="7" customWidth="1"/>
    <col min="4" max="4" width="14.44140625" style="76" customWidth="1"/>
    <col min="5" max="5" width="14.44140625" style="7" customWidth="1"/>
    <col min="6" max="6" width="10.88671875" style="7"/>
    <col min="7" max="7" width="10.88671875" style="13"/>
    <col min="8" max="8" width="10.88671875" style="7"/>
    <col min="9" max="9" width="10.88671875" style="13"/>
    <col min="10" max="10" width="10.88671875" style="7"/>
    <col min="11" max="11" width="10.88671875" style="13"/>
    <col min="12" max="12" width="10.88671875" style="7"/>
    <col min="13" max="13" width="10.88671875" style="13"/>
    <col min="14" max="14" width="10.88671875" style="7"/>
    <col min="15" max="15" width="10.88671875" style="13"/>
    <col min="16" max="16" width="10.88671875" style="7"/>
    <col min="17" max="17" width="10.88671875" style="13"/>
    <col min="18" max="18" width="10.88671875" style="7"/>
    <col min="19" max="19" width="10.88671875" style="13"/>
    <col min="20" max="20" width="10.88671875" style="7"/>
    <col min="21" max="21" width="10.88671875" style="13"/>
    <col min="22" max="22" width="10.88671875" style="7"/>
    <col min="23" max="23" width="10.88671875" style="13"/>
    <col min="24" max="24" width="10.88671875" style="7"/>
    <col min="25" max="25" width="10.88671875" style="13"/>
    <col min="26" max="26" width="10.88671875" style="7"/>
    <col min="27" max="27" width="10.88671875" style="13"/>
    <col min="28" max="28" width="10.88671875" style="7"/>
    <col min="29" max="29" width="10.88671875" style="13"/>
    <col min="30" max="30" width="10.88671875" style="7"/>
    <col min="31" max="31" width="10.88671875" style="13"/>
    <col min="32" max="32" width="10.88671875" style="7"/>
    <col min="33" max="33" width="10.88671875" style="13"/>
    <col min="34" max="34" width="10.88671875" style="7"/>
    <col min="35" max="35" width="10.88671875" style="13"/>
    <col min="36" max="36" width="10.88671875" style="7"/>
    <col min="37" max="37" width="10.88671875" style="13"/>
    <col min="38" max="38" width="10.88671875" style="7"/>
    <col min="39" max="39" width="10.88671875" style="13"/>
    <col min="40" max="40" width="10.88671875" style="7"/>
    <col min="41" max="41" width="10.88671875" style="13"/>
    <col min="42" max="42" width="10.88671875" style="7"/>
    <col min="43" max="43" width="10.88671875" style="13"/>
    <col min="44" max="44" width="10.88671875" style="7"/>
    <col min="45" max="45" width="10.88671875" style="13"/>
    <col min="46" max="46" width="13.109375" style="8" bestFit="1" customWidth="1"/>
    <col min="47" max="47" width="8" style="49" bestFit="1" customWidth="1"/>
    <col min="48" max="48" width="10.44140625" style="8" bestFit="1" customWidth="1"/>
    <col min="49" max="49" width="6.33203125" style="49" bestFit="1" customWidth="1"/>
    <col min="50" max="50" width="7.6640625" style="9" bestFit="1" customWidth="1"/>
    <col min="51" max="51" width="10.33203125" style="10" bestFit="1" customWidth="1"/>
    <col min="52" max="52" width="5.88671875" style="50" bestFit="1" customWidth="1"/>
    <col min="53" max="53" width="4" style="10" bestFit="1" customWidth="1"/>
    <col min="54" max="54" width="10.109375" style="5" customWidth="1"/>
    <col min="55" max="55" width="10.88671875" style="69"/>
    <col min="56" max="16384" width="10.88671875" style="6"/>
  </cols>
  <sheetData>
    <row r="1" spans="1:184" s="12" customFormat="1" x14ac:dyDescent="0.3">
      <c r="A1" s="55" t="s">
        <v>0</v>
      </c>
      <c r="B1" s="82" t="s">
        <v>69</v>
      </c>
      <c r="C1" s="83"/>
      <c r="D1" s="56" t="s">
        <v>67</v>
      </c>
      <c r="E1" s="57" t="s">
        <v>68</v>
      </c>
      <c r="F1" s="58" t="s">
        <v>1</v>
      </c>
      <c r="G1" s="59" t="s">
        <v>62</v>
      </c>
      <c r="H1" s="58" t="s">
        <v>1</v>
      </c>
      <c r="I1" s="59" t="s">
        <v>62</v>
      </c>
      <c r="J1" s="58" t="s">
        <v>1</v>
      </c>
      <c r="K1" s="59" t="s">
        <v>62</v>
      </c>
      <c r="L1" s="58" t="s">
        <v>1</v>
      </c>
      <c r="M1" s="59" t="s">
        <v>62</v>
      </c>
      <c r="N1" s="58" t="s">
        <v>1</v>
      </c>
      <c r="O1" s="59" t="s">
        <v>62</v>
      </c>
      <c r="P1" s="58" t="s">
        <v>1</v>
      </c>
      <c r="Q1" s="59" t="s">
        <v>62</v>
      </c>
      <c r="R1" s="58" t="s">
        <v>1</v>
      </c>
      <c r="S1" s="59" t="s">
        <v>62</v>
      </c>
      <c r="T1" s="60" t="s">
        <v>1</v>
      </c>
      <c r="U1" s="59" t="s">
        <v>62</v>
      </c>
      <c r="V1" s="60" t="s">
        <v>1</v>
      </c>
      <c r="W1" s="59" t="s">
        <v>62</v>
      </c>
      <c r="X1" s="60" t="s">
        <v>1</v>
      </c>
      <c r="Y1" s="59" t="s">
        <v>62</v>
      </c>
      <c r="Z1" s="60" t="s">
        <v>1</v>
      </c>
      <c r="AA1" s="59" t="s">
        <v>62</v>
      </c>
      <c r="AB1" s="60" t="s">
        <v>1</v>
      </c>
      <c r="AC1" s="59" t="s">
        <v>62</v>
      </c>
      <c r="AD1" s="60" t="s">
        <v>1</v>
      </c>
      <c r="AE1" s="59" t="s">
        <v>62</v>
      </c>
      <c r="AF1" s="60" t="s">
        <v>1</v>
      </c>
      <c r="AG1" s="59" t="s">
        <v>62</v>
      </c>
      <c r="AH1" s="60" t="s">
        <v>1</v>
      </c>
      <c r="AI1" s="59" t="s">
        <v>62</v>
      </c>
      <c r="AJ1" s="60" t="s">
        <v>1</v>
      </c>
      <c r="AK1" s="59" t="s">
        <v>62</v>
      </c>
      <c r="AL1" s="60" t="s">
        <v>1</v>
      </c>
      <c r="AM1" s="59" t="s">
        <v>62</v>
      </c>
      <c r="AN1" s="60" t="s">
        <v>1</v>
      </c>
      <c r="AO1" s="59" t="s">
        <v>62</v>
      </c>
      <c r="AP1" s="60" t="s">
        <v>1</v>
      </c>
      <c r="AQ1" s="59" t="s">
        <v>62</v>
      </c>
      <c r="AR1" s="60" t="s">
        <v>1</v>
      </c>
      <c r="AS1" s="59" t="s">
        <v>62</v>
      </c>
      <c r="AT1" s="61" t="s">
        <v>2</v>
      </c>
      <c r="AU1" s="62" t="s">
        <v>3</v>
      </c>
      <c r="AV1" s="61" t="s">
        <v>4</v>
      </c>
      <c r="AW1" s="62" t="s">
        <v>3</v>
      </c>
      <c r="AX1" s="63" t="s">
        <v>5</v>
      </c>
      <c r="AY1" s="64" t="s">
        <v>6</v>
      </c>
      <c r="AZ1" s="65" t="s">
        <v>3</v>
      </c>
      <c r="BA1" s="64" t="s">
        <v>7</v>
      </c>
      <c r="BB1" s="66"/>
      <c r="BC1" s="67"/>
    </row>
    <row r="2" spans="1:184" ht="44.1" customHeight="1" x14ac:dyDescent="0.25">
      <c r="A2" s="68"/>
      <c r="B2" s="18" t="s">
        <v>84</v>
      </c>
      <c r="C2" s="42" t="s">
        <v>70</v>
      </c>
      <c r="D2" s="19"/>
      <c r="E2" s="18"/>
      <c r="F2" s="20">
        <v>0.01</v>
      </c>
      <c r="G2" s="21"/>
      <c r="H2" s="20"/>
      <c r="I2" s="21"/>
      <c r="J2" s="20"/>
      <c r="K2" s="21"/>
      <c r="L2" s="20"/>
      <c r="M2" s="21"/>
      <c r="N2" s="20"/>
      <c r="O2" s="21"/>
      <c r="P2" s="20"/>
      <c r="Q2" s="21"/>
      <c r="R2" s="20">
        <v>0.1</v>
      </c>
      <c r="S2" s="21"/>
      <c r="T2" s="22">
        <v>0.05</v>
      </c>
      <c r="U2" s="21"/>
      <c r="V2" s="22">
        <v>0.5</v>
      </c>
      <c r="W2" s="21"/>
      <c r="X2" s="22"/>
      <c r="Y2" s="21"/>
      <c r="Z2" s="22">
        <v>0.1</v>
      </c>
      <c r="AA2" s="21"/>
      <c r="AB2" s="22"/>
      <c r="AC2" s="21"/>
      <c r="AD2" s="22">
        <v>0.25</v>
      </c>
      <c r="AE2" s="21"/>
      <c r="AF2" s="22"/>
      <c r="AG2" s="21"/>
      <c r="AH2" s="22"/>
      <c r="AI2" s="21"/>
      <c r="AJ2" s="22"/>
      <c r="AK2" s="21"/>
      <c r="AL2" s="22">
        <v>0.05</v>
      </c>
      <c r="AM2" s="21"/>
      <c r="AN2" s="22">
        <v>0.5</v>
      </c>
      <c r="AO2" s="21"/>
      <c r="AP2" s="22"/>
      <c r="AQ2" s="21"/>
      <c r="AR2" s="22">
        <v>0.1</v>
      </c>
      <c r="AS2" s="21"/>
      <c r="AT2" s="24"/>
      <c r="AU2" s="36"/>
      <c r="AV2" s="24"/>
      <c r="AW2" s="36"/>
      <c r="AX2" s="25"/>
      <c r="AY2" s="26"/>
      <c r="AZ2" s="37"/>
      <c r="BA2" s="26"/>
      <c r="BB2" s="2"/>
    </row>
    <row r="3" spans="1:184" s="12" customFormat="1" x14ac:dyDescent="0.3">
      <c r="A3" s="70" t="s">
        <v>8</v>
      </c>
      <c r="B3" s="41"/>
      <c r="C3" s="41"/>
      <c r="D3" s="17"/>
      <c r="E3" s="41"/>
      <c r="F3" s="39" t="s">
        <v>9</v>
      </c>
      <c r="G3" s="40" t="s">
        <v>63</v>
      </c>
      <c r="H3" s="39" t="s">
        <v>9</v>
      </c>
      <c r="I3" s="40" t="s">
        <v>64</v>
      </c>
      <c r="J3" s="39" t="s">
        <v>9</v>
      </c>
      <c r="K3" s="40" t="s">
        <v>64</v>
      </c>
      <c r="L3" s="39" t="s">
        <v>9</v>
      </c>
      <c r="M3" s="40" t="s">
        <v>64</v>
      </c>
      <c r="N3" s="39" t="s">
        <v>9</v>
      </c>
      <c r="O3" s="40" t="s">
        <v>64</v>
      </c>
      <c r="P3" s="39" t="s">
        <v>9</v>
      </c>
      <c r="Q3" s="40" t="s">
        <v>64</v>
      </c>
      <c r="R3" s="39" t="s">
        <v>9</v>
      </c>
      <c r="S3" s="40" t="s">
        <v>63</v>
      </c>
      <c r="T3" s="38" t="s">
        <v>9</v>
      </c>
      <c r="U3" s="40" t="s">
        <v>63</v>
      </c>
      <c r="V3" s="38" t="s">
        <v>9</v>
      </c>
      <c r="W3" s="40" t="s">
        <v>63</v>
      </c>
      <c r="X3" s="38" t="s">
        <v>9</v>
      </c>
      <c r="Y3" s="40" t="s">
        <v>63</v>
      </c>
      <c r="Z3" s="38" t="s">
        <v>9</v>
      </c>
      <c r="AA3" s="40" t="s">
        <v>63</v>
      </c>
      <c r="AB3" s="38" t="s">
        <v>9</v>
      </c>
      <c r="AC3" s="40" t="s">
        <v>63</v>
      </c>
      <c r="AD3" s="38" t="s">
        <v>9</v>
      </c>
      <c r="AE3" s="40" t="s">
        <v>63</v>
      </c>
      <c r="AF3" s="38" t="s">
        <v>9</v>
      </c>
      <c r="AG3" s="40" t="s">
        <v>64</v>
      </c>
      <c r="AH3" s="38" t="s">
        <v>9</v>
      </c>
      <c r="AI3" s="40" t="s">
        <v>63</v>
      </c>
      <c r="AJ3" s="38" t="s">
        <v>9</v>
      </c>
      <c r="AK3" s="40" t="s">
        <v>64</v>
      </c>
      <c r="AL3" s="38" t="s">
        <v>9</v>
      </c>
      <c r="AM3" s="40" t="s">
        <v>63</v>
      </c>
      <c r="AN3" s="38" t="s">
        <v>9</v>
      </c>
      <c r="AO3" s="40" t="s">
        <v>63</v>
      </c>
      <c r="AP3" s="38" t="s">
        <v>9</v>
      </c>
      <c r="AQ3" s="40" t="s">
        <v>64</v>
      </c>
      <c r="AR3" s="38" t="s">
        <v>9</v>
      </c>
      <c r="AS3" s="40" t="s">
        <v>63</v>
      </c>
      <c r="AT3" s="27"/>
      <c r="AU3" s="71"/>
      <c r="AV3" s="27" t="s">
        <v>9</v>
      </c>
      <c r="AW3" s="71"/>
      <c r="AX3" s="28" t="s">
        <v>10</v>
      </c>
      <c r="AY3" s="29" t="s">
        <v>11</v>
      </c>
      <c r="AZ3" s="23"/>
      <c r="BA3" s="29"/>
      <c r="BB3" s="1"/>
      <c r="BC3" s="72"/>
    </row>
    <row r="4" spans="1:184" ht="15" x14ac:dyDescent="0.25">
      <c r="A4" s="70" t="s">
        <v>8</v>
      </c>
      <c r="B4" s="41"/>
      <c r="C4" s="41"/>
      <c r="D4" s="17"/>
      <c r="E4" s="41"/>
      <c r="F4" s="80" t="s">
        <v>12</v>
      </c>
      <c r="G4" s="81"/>
      <c r="H4" s="80" t="s">
        <v>13</v>
      </c>
      <c r="I4" s="81"/>
      <c r="J4" s="80" t="s">
        <v>14</v>
      </c>
      <c r="K4" s="81"/>
      <c r="L4" s="80" t="s">
        <v>15</v>
      </c>
      <c r="M4" s="81"/>
      <c r="N4" s="80" t="s">
        <v>16</v>
      </c>
      <c r="O4" s="81"/>
      <c r="P4" s="80" t="s">
        <v>17</v>
      </c>
      <c r="Q4" s="81"/>
      <c r="R4" s="80" t="s">
        <v>18</v>
      </c>
      <c r="S4" s="81"/>
      <c r="T4" s="78" t="s">
        <v>19</v>
      </c>
      <c r="U4" s="79"/>
      <c r="V4" s="78" t="s">
        <v>20</v>
      </c>
      <c r="W4" s="79"/>
      <c r="X4" s="78" t="s">
        <v>21</v>
      </c>
      <c r="Y4" s="79"/>
      <c r="Z4" s="78" t="s">
        <v>22</v>
      </c>
      <c r="AA4" s="79"/>
      <c r="AB4" s="78" t="s">
        <v>23</v>
      </c>
      <c r="AC4" s="79"/>
      <c r="AD4" s="78" t="s">
        <v>24</v>
      </c>
      <c r="AE4" s="79"/>
      <c r="AF4" s="78" t="s">
        <v>83</v>
      </c>
      <c r="AG4" s="79"/>
      <c r="AH4" s="78" t="s">
        <v>82</v>
      </c>
      <c r="AI4" s="79"/>
      <c r="AJ4" s="78" t="s">
        <v>25</v>
      </c>
      <c r="AK4" s="79"/>
      <c r="AL4" s="78" t="s">
        <v>26</v>
      </c>
      <c r="AM4" s="79"/>
      <c r="AN4" s="78" t="s">
        <v>27</v>
      </c>
      <c r="AO4" s="79"/>
      <c r="AP4" s="78" t="s">
        <v>28</v>
      </c>
      <c r="AQ4" s="79"/>
      <c r="AR4" s="78" t="s">
        <v>29</v>
      </c>
      <c r="AS4" s="79"/>
      <c r="AT4" s="24"/>
      <c r="AU4" s="36"/>
      <c r="AV4" s="24"/>
      <c r="AW4" s="36"/>
      <c r="AX4" s="25"/>
      <c r="AY4" s="26"/>
      <c r="AZ4" s="37"/>
      <c r="BA4" s="26"/>
      <c r="BB4" s="3"/>
    </row>
    <row r="5" spans="1:184" s="7" customFormat="1" ht="15" x14ac:dyDescent="0.25">
      <c r="A5" s="73" t="s">
        <v>31</v>
      </c>
      <c r="B5" s="77" t="s">
        <v>71</v>
      </c>
      <c r="C5" s="52" t="s">
        <v>71</v>
      </c>
      <c r="D5" s="30">
        <v>40646</v>
      </c>
      <c r="E5" s="31" t="s">
        <v>65</v>
      </c>
      <c r="F5" s="32">
        <v>4.3719675300798275E-2</v>
      </c>
      <c r="G5" s="33">
        <f t="shared" ref="G5:G9" si="0" xml:space="preserve"> 1000*F5/6.941</f>
        <v>6.2987574269987423</v>
      </c>
      <c r="H5" s="32">
        <v>1408.6861476782929</v>
      </c>
      <c r="I5" s="33">
        <f t="shared" ref="I5:I9" si="1">H5/22.99</f>
        <v>61.273864622805263</v>
      </c>
      <c r="J5" s="32">
        <v>32.498936491796428</v>
      </c>
      <c r="K5" s="33">
        <f t="shared" ref="K5:K9" si="2">J5/18</f>
        <v>1.8054964717664683</v>
      </c>
      <c r="L5" s="32">
        <v>50.694462637415363</v>
      </c>
      <c r="M5" s="33">
        <f t="shared" ref="M5:M9" si="3">L5/39.098</f>
        <v>1.296599893534589</v>
      </c>
      <c r="N5" s="32">
        <v>163.66496765929762</v>
      </c>
      <c r="O5" s="33">
        <f t="shared" ref="O5:O9" si="4">N5/24.305</f>
        <v>6.7337982990865095</v>
      </c>
      <c r="P5" s="32">
        <v>75.924034574032845</v>
      </c>
      <c r="Q5" s="33">
        <f t="shared" ref="Q5:Q9" si="5">P5/40.078</f>
        <v>1.8944067711470842</v>
      </c>
      <c r="R5" s="32" t="s">
        <v>30</v>
      </c>
      <c r="S5" s="33"/>
      <c r="T5" s="32">
        <v>0.52112940979469236</v>
      </c>
      <c r="U5" s="33">
        <f t="shared" ref="U5:U8" si="6">1000*T5/18.998</f>
        <v>27.430751120891269</v>
      </c>
      <c r="V5" s="32">
        <v>1.9359694363749305</v>
      </c>
      <c r="W5" s="33">
        <f t="shared" ref="W5:W9" si="7">1000*V5/89.1</f>
        <v>21.72805203563334</v>
      </c>
      <c r="X5" s="32">
        <v>10.535611015841008</v>
      </c>
      <c r="Y5" s="33">
        <f t="shared" ref="Y5:Y9" si="8">1000*X5/59.044</f>
        <v>178.43660686676054</v>
      </c>
      <c r="Z5" s="34">
        <v>6.0119180622175019</v>
      </c>
      <c r="AA5" s="35">
        <f t="shared" ref="AA5:AA6" si="9">1000*Z5/73.08</f>
        <v>82.26488864555968</v>
      </c>
      <c r="AB5" s="34">
        <v>27.149120169866709</v>
      </c>
      <c r="AC5" s="35">
        <f t="shared" ref="AC5:AC9" si="10">1000*AB5/45.03</f>
        <v>602.9118403257097</v>
      </c>
      <c r="AD5" s="34">
        <v>30.243076819375716</v>
      </c>
      <c r="AE5" s="35">
        <f t="shared" ref="AE5:AE6" si="11">1000*AD5/95.11</f>
        <v>317.97998968957751</v>
      </c>
      <c r="AF5" s="34">
        <v>2523.3040070915799</v>
      </c>
      <c r="AG5" s="35">
        <f t="shared" ref="AG5:AG9" si="12">AF5/35.453</f>
        <v>71.173215442743341</v>
      </c>
      <c r="AH5" s="34">
        <v>0.53553017928858959</v>
      </c>
      <c r="AI5" s="35">
        <f t="shared" ref="AI5:AI9" si="13">1000*AH5/79.904</f>
        <v>6.7021698449212757</v>
      </c>
      <c r="AJ5" s="34">
        <v>168.59654415182374</v>
      </c>
      <c r="AK5" s="35">
        <f t="shared" ref="AK5:AK9" si="14">AJ5/62.01</f>
        <v>2.7188605733240405</v>
      </c>
      <c r="AL5" s="34" t="s">
        <v>30</v>
      </c>
      <c r="AM5" s="35"/>
      <c r="AN5" s="34" t="s">
        <v>30</v>
      </c>
      <c r="AO5" s="35"/>
      <c r="AP5" s="34">
        <v>498.08577005849935</v>
      </c>
      <c r="AQ5" s="35">
        <f t="shared" ref="AQ5:AQ9" si="15">AP5/96.079</f>
        <v>5.1841273333246534</v>
      </c>
      <c r="AR5" s="34">
        <v>4.9746853671583864</v>
      </c>
      <c r="AS5" s="35">
        <f t="shared" ref="AS5:AS9" si="16">1000*AR5/88.03</f>
        <v>56.511250336912262</v>
      </c>
      <c r="AT5" s="24">
        <v>11430</v>
      </c>
      <c r="AU5" s="36">
        <v>913.40024085829975</v>
      </c>
      <c r="AV5" s="24">
        <v>576.02078654684681</v>
      </c>
      <c r="AW5" s="36">
        <v>327.15867489085838</v>
      </c>
      <c r="AX5" s="25">
        <f t="shared" ref="AX5:AX9" si="17">AV5/AT5</f>
        <v>5.0395519382926232E-2</v>
      </c>
      <c r="AY5" s="26">
        <v>14.7</v>
      </c>
      <c r="AZ5" s="37">
        <v>3</v>
      </c>
      <c r="BA5" s="26">
        <v>5.5</v>
      </c>
      <c r="BB5" s="4"/>
      <c r="BC5" s="69"/>
      <c r="BD5" s="84">
        <f>SUM(V5,X5,Z5,AB5,AL5,AN5,AR5)</f>
        <v>50.607304051458541</v>
      </c>
    </row>
    <row r="6" spans="1:184" ht="15" x14ac:dyDescent="0.25">
      <c r="A6" s="74" t="s">
        <v>72</v>
      </c>
      <c r="B6" s="53" t="s">
        <v>80</v>
      </c>
      <c r="C6" s="52" t="s">
        <v>71</v>
      </c>
      <c r="D6" s="43">
        <v>40646</v>
      </c>
      <c r="E6" s="44" t="s">
        <v>73</v>
      </c>
      <c r="F6" s="45">
        <v>0.16011621343928717</v>
      </c>
      <c r="G6" s="46">
        <f t="shared" si="0"/>
        <v>23.068176550826564</v>
      </c>
      <c r="H6" s="45">
        <v>10611.321042231975</v>
      </c>
      <c r="I6" s="46">
        <f t="shared" si="1"/>
        <v>461.56246377694544</v>
      </c>
      <c r="J6" s="45">
        <v>73.353648342368132</v>
      </c>
      <c r="K6" s="46">
        <f t="shared" si="2"/>
        <v>4.0752026856871186</v>
      </c>
      <c r="L6" s="45">
        <v>383.21037081688917</v>
      </c>
      <c r="M6" s="46">
        <f t="shared" si="3"/>
        <v>9.8012780913829136</v>
      </c>
      <c r="N6" s="45">
        <v>1288.8754478798087</v>
      </c>
      <c r="O6" s="46">
        <f t="shared" si="4"/>
        <v>53.029230523752673</v>
      </c>
      <c r="P6" s="45">
        <v>399.52089964666834</v>
      </c>
      <c r="Q6" s="46">
        <f t="shared" si="5"/>
        <v>9.9685837528486534</v>
      </c>
      <c r="R6" s="45">
        <v>4.2826697324284755</v>
      </c>
      <c r="S6" s="46">
        <f t="shared" ref="S6:S9" si="18">1000*R6/87.62</f>
        <v>48.877764579188252</v>
      </c>
      <c r="T6" s="45">
        <v>1.3789387640327346</v>
      </c>
      <c r="U6" s="46">
        <f t="shared" si="6"/>
        <v>72.58336477696254</v>
      </c>
      <c r="V6" s="45">
        <v>6.2825930582179019</v>
      </c>
      <c r="W6" s="46">
        <f t="shared" si="7"/>
        <v>70.51170660177219</v>
      </c>
      <c r="X6" s="45">
        <v>11.486364678815709</v>
      </c>
      <c r="Y6" s="46">
        <f t="shared" si="8"/>
        <v>194.53906711631512</v>
      </c>
      <c r="Z6" s="47">
        <v>3.8395664081871979</v>
      </c>
      <c r="AA6" s="48">
        <f t="shared" si="9"/>
        <v>52.539222881598221</v>
      </c>
      <c r="AB6" s="47">
        <v>23.221671357040229</v>
      </c>
      <c r="AC6" s="48">
        <f t="shared" si="10"/>
        <v>515.69334570375815</v>
      </c>
      <c r="AD6" s="47">
        <v>3.2795759188508624</v>
      </c>
      <c r="AE6" s="48">
        <f t="shared" si="11"/>
        <v>34.481925337513012</v>
      </c>
      <c r="AF6" s="47">
        <v>16395.556599630403</v>
      </c>
      <c r="AG6" s="48">
        <f t="shared" si="12"/>
        <v>462.45893435338058</v>
      </c>
      <c r="AH6" s="47">
        <v>60.78788391848903</v>
      </c>
      <c r="AI6" s="48">
        <f t="shared" si="13"/>
        <v>760.76146273639665</v>
      </c>
      <c r="AJ6" s="47">
        <v>52.197414080880506</v>
      </c>
      <c r="AK6" s="48">
        <f t="shared" si="14"/>
        <v>0.84175800807741508</v>
      </c>
      <c r="AL6" s="47" t="s">
        <v>30</v>
      </c>
      <c r="AM6" s="45" t="s">
        <v>30</v>
      </c>
      <c r="AN6" s="47" t="s">
        <v>30</v>
      </c>
      <c r="AO6" s="45" t="s">
        <v>30</v>
      </c>
      <c r="AP6" s="47">
        <v>2888.8841788967648</v>
      </c>
      <c r="AQ6" s="48">
        <f t="shared" si="15"/>
        <v>30.067800236230237</v>
      </c>
      <c r="AR6" s="47">
        <v>2.3036772393323521</v>
      </c>
      <c r="AS6" s="48">
        <f t="shared" si="16"/>
        <v>26.169229118849849</v>
      </c>
      <c r="AT6" s="8">
        <v>13209.333333333334</v>
      </c>
      <c r="AU6" s="49">
        <v>319.90832020023072</v>
      </c>
      <c r="AV6" s="8">
        <v>153.27360725213876</v>
      </c>
      <c r="AW6" s="49">
        <v>74.97073249974477</v>
      </c>
      <c r="AX6" s="9">
        <f t="shared" si="17"/>
        <v>1.1603432465842743E-2</v>
      </c>
      <c r="AY6" s="10">
        <v>9.1999999999999993</v>
      </c>
      <c r="AZ6" s="50">
        <v>0.4</v>
      </c>
      <c r="BA6" s="10">
        <v>5.5</v>
      </c>
      <c r="BD6" s="84">
        <f t="shared" ref="BD6:BD40" si="19">SUM(V6,X6,Z6,AB6,AL6,AN6,AR6)</f>
        <v>47.133872741593386</v>
      </c>
    </row>
    <row r="7" spans="1:184" ht="15" x14ac:dyDescent="0.25">
      <c r="A7" s="74" t="s">
        <v>74</v>
      </c>
      <c r="B7" s="53" t="s">
        <v>80</v>
      </c>
      <c r="C7" s="52" t="s">
        <v>71</v>
      </c>
      <c r="D7" s="43">
        <v>40646</v>
      </c>
      <c r="E7" s="44" t="s">
        <v>75</v>
      </c>
      <c r="F7" s="45">
        <v>0.18055658111238768</v>
      </c>
      <c r="G7" s="46">
        <f t="shared" si="0"/>
        <v>26.013050153059744</v>
      </c>
      <c r="H7" s="45">
        <v>12084.181226211576</v>
      </c>
      <c r="I7" s="46">
        <f t="shared" si="1"/>
        <v>525.62771753856362</v>
      </c>
      <c r="J7" s="45">
        <v>53.505340656485025</v>
      </c>
      <c r="K7" s="46">
        <f t="shared" si="2"/>
        <v>2.9725189253602791</v>
      </c>
      <c r="L7" s="45">
        <v>433.82199755764128</v>
      </c>
      <c r="M7" s="46">
        <f t="shared" si="3"/>
        <v>11.095759311413405</v>
      </c>
      <c r="N7" s="45">
        <v>1464.0453380121471</v>
      </c>
      <c r="O7" s="46">
        <f t="shared" si="4"/>
        <v>60.236385024157464</v>
      </c>
      <c r="P7" s="45">
        <v>456.39616532357701</v>
      </c>
      <c r="Q7" s="46">
        <f t="shared" si="5"/>
        <v>11.387698121752008</v>
      </c>
      <c r="R7" s="45">
        <v>3.2495818043138671</v>
      </c>
      <c r="S7" s="46">
        <f t="shared" si="18"/>
        <v>37.087215296894165</v>
      </c>
      <c r="T7" s="45">
        <v>0.85132584331602512</v>
      </c>
      <c r="U7" s="46">
        <f t="shared" si="6"/>
        <v>44.811340315613492</v>
      </c>
      <c r="V7" s="45">
        <v>2.4397973083570741</v>
      </c>
      <c r="W7" s="46">
        <f t="shared" si="7"/>
        <v>27.382685840146738</v>
      </c>
      <c r="X7" s="45">
        <v>5.1277038278040825</v>
      </c>
      <c r="Y7" s="46">
        <f t="shared" si="8"/>
        <v>86.84546825763978</v>
      </c>
      <c r="Z7" s="47" t="s">
        <v>30</v>
      </c>
      <c r="AA7" s="45" t="s">
        <v>30</v>
      </c>
      <c r="AB7" s="47">
        <v>14.019413142510377</v>
      </c>
      <c r="AC7" s="48">
        <f t="shared" si="10"/>
        <v>311.334957639582</v>
      </c>
      <c r="AD7" s="47" t="s">
        <v>30</v>
      </c>
      <c r="AE7" s="45" t="s">
        <v>30</v>
      </c>
      <c r="AF7" s="47">
        <v>18102.697032385655</v>
      </c>
      <c r="AG7" s="48">
        <f t="shared" si="12"/>
        <v>510.61114806604951</v>
      </c>
      <c r="AH7" s="47">
        <v>51.416387940562075</v>
      </c>
      <c r="AI7" s="48">
        <f t="shared" si="13"/>
        <v>643.47702168304568</v>
      </c>
      <c r="AJ7" s="47">
        <v>101.11005831133006</v>
      </c>
      <c r="AK7" s="48">
        <f t="shared" si="14"/>
        <v>1.6305444010857937</v>
      </c>
      <c r="AL7" s="47" t="s">
        <v>30</v>
      </c>
      <c r="AM7" s="45" t="s">
        <v>30</v>
      </c>
      <c r="AN7" s="47" t="s">
        <v>30</v>
      </c>
      <c r="AO7" s="45" t="s">
        <v>30</v>
      </c>
      <c r="AP7" s="47">
        <v>3227.4483132688874</v>
      </c>
      <c r="AQ7" s="48">
        <f t="shared" si="15"/>
        <v>33.591610167350694</v>
      </c>
      <c r="AR7" s="47" t="s">
        <v>30</v>
      </c>
      <c r="AS7" s="45" t="s">
        <v>30</v>
      </c>
      <c r="AT7" s="8">
        <v>11759.999999999998</v>
      </c>
      <c r="AU7" s="49">
        <v>263.87400402465141</v>
      </c>
      <c r="AV7" s="8">
        <v>107.64608269268786</v>
      </c>
      <c r="AW7" s="49">
        <v>19.900445579711381</v>
      </c>
      <c r="AX7" s="9">
        <f t="shared" si="17"/>
        <v>9.1535784602625736E-3</v>
      </c>
      <c r="AY7" s="10">
        <v>1.6</v>
      </c>
      <c r="AZ7" s="50">
        <v>0.2</v>
      </c>
      <c r="BA7" s="10">
        <v>5.7</v>
      </c>
      <c r="BD7" s="84">
        <f t="shared" si="19"/>
        <v>21.586914278671536</v>
      </c>
    </row>
    <row r="8" spans="1:184" ht="15" x14ac:dyDescent="0.25">
      <c r="A8" s="74" t="s">
        <v>76</v>
      </c>
      <c r="B8" s="53" t="s">
        <v>80</v>
      </c>
      <c r="C8" s="52" t="s">
        <v>71</v>
      </c>
      <c r="D8" s="43">
        <v>40646</v>
      </c>
      <c r="E8" s="44" t="s">
        <v>77</v>
      </c>
      <c r="F8" s="45">
        <v>0.10844750626561649</v>
      </c>
      <c r="G8" s="46">
        <f t="shared" si="0"/>
        <v>15.624190500737139</v>
      </c>
      <c r="H8" s="45">
        <v>3659.5960360165641</v>
      </c>
      <c r="I8" s="46">
        <f t="shared" si="1"/>
        <v>159.18208073147301</v>
      </c>
      <c r="J8" s="45">
        <v>25.852450713353306</v>
      </c>
      <c r="K8" s="46">
        <f t="shared" si="2"/>
        <v>1.4362472618529614</v>
      </c>
      <c r="L8" s="45">
        <v>131.08054982017663</v>
      </c>
      <c r="M8" s="46">
        <f t="shared" si="3"/>
        <v>3.3526152186857803</v>
      </c>
      <c r="N8" s="45">
        <v>384.31457153239927</v>
      </c>
      <c r="O8" s="46">
        <f t="shared" si="4"/>
        <v>15.812160935297234</v>
      </c>
      <c r="P8" s="45">
        <v>161.72044446509989</v>
      </c>
      <c r="Q8" s="46">
        <f t="shared" si="5"/>
        <v>4.0351425835894972</v>
      </c>
      <c r="R8" s="45">
        <v>1.5542054026331349</v>
      </c>
      <c r="S8" s="46">
        <f t="shared" si="18"/>
        <v>17.738021029823496</v>
      </c>
      <c r="T8" s="45">
        <v>0.92281356315358543</v>
      </c>
      <c r="U8" s="46">
        <f t="shared" si="6"/>
        <v>48.574247981555182</v>
      </c>
      <c r="V8" s="45">
        <v>2.8879648221810683</v>
      </c>
      <c r="W8" s="46">
        <f t="shared" si="7"/>
        <v>32.41262426690313</v>
      </c>
      <c r="X8" s="45">
        <v>4.9228532384882193</v>
      </c>
      <c r="Y8" s="46">
        <f t="shared" si="8"/>
        <v>83.376011762214944</v>
      </c>
      <c r="Z8" s="47" t="s">
        <v>30</v>
      </c>
      <c r="AA8" s="45" t="s">
        <v>30</v>
      </c>
      <c r="AB8" s="47">
        <v>18.160474424959748</v>
      </c>
      <c r="AC8" s="48">
        <f t="shared" si="10"/>
        <v>403.29723351009881</v>
      </c>
      <c r="AD8" s="47" t="s">
        <v>30</v>
      </c>
      <c r="AE8" s="45" t="s">
        <v>30</v>
      </c>
      <c r="AF8" s="47">
        <v>6480.5480613020845</v>
      </c>
      <c r="AG8" s="48">
        <f t="shared" si="12"/>
        <v>182.79265679356004</v>
      </c>
      <c r="AH8" s="47">
        <v>14.920851048044355</v>
      </c>
      <c r="AI8" s="48">
        <f t="shared" si="13"/>
        <v>186.73471976427157</v>
      </c>
      <c r="AJ8" s="47">
        <v>21.850326196404254</v>
      </c>
      <c r="AK8" s="48">
        <f t="shared" si="14"/>
        <v>0.35236778255772061</v>
      </c>
      <c r="AL8" s="47" t="s">
        <v>30</v>
      </c>
      <c r="AM8" s="45" t="s">
        <v>30</v>
      </c>
      <c r="AN8" s="47" t="s">
        <v>30</v>
      </c>
      <c r="AO8" s="45" t="s">
        <v>30</v>
      </c>
      <c r="AP8" s="47">
        <v>769.65961468417152</v>
      </c>
      <c r="AQ8" s="48">
        <f t="shared" si="15"/>
        <v>8.0106955181066777</v>
      </c>
      <c r="AR8" s="47">
        <v>1.7662049910408046</v>
      </c>
      <c r="AS8" s="48">
        <f t="shared" si="16"/>
        <v>20.063671373858963</v>
      </c>
      <c r="AT8" s="8">
        <v>21372.399999999994</v>
      </c>
      <c r="AU8" s="49">
        <v>329.4145260913723</v>
      </c>
      <c r="AV8" s="8">
        <v>415.69299258106184</v>
      </c>
      <c r="AW8" s="49">
        <v>111.92388012693037</v>
      </c>
      <c r="AX8" s="9">
        <f t="shared" si="17"/>
        <v>1.9449991230795886E-2</v>
      </c>
      <c r="AY8" s="10">
        <v>0</v>
      </c>
      <c r="AZ8" s="50">
        <v>0.2</v>
      </c>
      <c r="BA8" s="10">
        <v>5.8</v>
      </c>
      <c r="BD8" s="84">
        <f t="shared" si="19"/>
        <v>27.737497476669841</v>
      </c>
    </row>
    <row r="9" spans="1:184" ht="15" x14ac:dyDescent="0.25">
      <c r="A9" s="74" t="s">
        <v>78</v>
      </c>
      <c r="B9" s="53" t="s">
        <v>80</v>
      </c>
      <c r="C9" s="52" t="s">
        <v>71</v>
      </c>
      <c r="D9" s="43">
        <v>40646</v>
      </c>
      <c r="E9" s="44" t="s">
        <v>79</v>
      </c>
      <c r="F9" s="45">
        <v>4.8829767219073394E-2</v>
      </c>
      <c r="G9" s="46">
        <f t="shared" si="0"/>
        <v>7.0349758275570373</v>
      </c>
      <c r="H9" s="45">
        <v>3245.438496308454</v>
      </c>
      <c r="I9" s="46">
        <f t="shared" si="1"/>
        <v>141.16739870850171</v>
      </c>
      <c r="J9" s="45">
        <v>24.28560565347307</v>
      </c>
      <c r="K9" s="46">
        <f t="shared" si="2"/>
        <v>1.3492003140818372</v>
      </c>
      <c r="L9" s="45">
        <v>117.55510387535071</v>
      </c>
      <c r="M9" s="46">
        <f t="shared" si="3"/>
        <v>3.0066781900698429</v>
      </c>
      <c r="N9" s="45">
        <v>349.80368806453117</v>
      </c>
      <c r="O9" s="46">
        <f t="shared" si="4"/>
        <v>14.392252131846583</v>
      </c>
      <c r="P9" s="45">
        <v>165.16472657851418</v>
      </c>
      <c r="Q9" s="46">
        <f t="shared" si="5"/>
        <v>4.1210820544566635</v>
      </c>
      <c r="R9" s="45">
        <v>1.6520162083744607</v>
      </c>
      <c r="S9" s="46">
        <f t="shared" si="18"/>
        <v>18.854327874622925</v>
      </c>
      <c r="T9" s="45" t="s">
        <v>30</v>
      </c>
      <c r="U9" s="45" t="s">
        <v>30</v>
      </c>
      <c r="V9" s="45">
        <v>1.3671536281430012</v>
      </c>
      <c r="W9" s="46">
        <f t="shared" si="7"/>
        <v>15.344036230561182</v>
      </c>
      <c r="X9" s="45">
        <v>4.7459427058052324</v>
      </c>
      <c r="Y9" s="46">
        <f t="shared" si="8"/>
        <v>80.37976264828319</v>
      </c>
      <c r="Z9" s="47" t="s">
        <v>30</v>
      </c>
      <c r="AA9" s="45" t="s">
        <v>30</v>
      </c>
      <c r="AB9" s="47">
        <v>20.817194906128574</v>
      </c>
      <c r="AC9" s="48">
        <f t="shared" si="10"/>
        <v>462.29613382475179</v>
      </c>
      <c r="AD9" s="47" t="s">
        <v>30</v>
      </c>
      <c r="AE9" s="45" t="s">
        <v>30</v>
      </c>
      <c r="AF9" s="47">
        <v>5732.1113020179655</v>
      </c>
      <c r="AG9" s="48">
        <f t="shared" si="12"/>
        <v>161.68198183561236</v>
      </c>
      <c r="AH9" s="47">
        <v>13.795746256393841</v>
      </c>
      <c r="AI9" s="48">
        <f t="shared" si="13"/>
        <v>172.65401302054767</v>
      </c>
      <c r="AJ9" s="47">
        <v>18.725401217931932</v>
      </c>
      <c r="AK9" s="48">
        <f t="shared" si="14"/>
        <v>0.3019738948223179</v>
      </c>
      <c r="AL9" s="47" t="s">
        <v>30</v>
      </c>
      <c r="AM9" s="45" t="s">
        <v>30</v>
      </c>
      <c r="AN9" s="47" t="s">
        <v>30</v>
      </c>
      <c r="AO9" s="45" t="s">
        <v>30</v>
      </c>
      <c r="AP9" s="47">
        <v>716.17621612155347</v>
      </c>
      <c r="AQ9" s="48">
        <f t="shared" si="15"/>
        <v>7.4540348684057234</v>
      </c>
      <c r="AR9" s="47">
        <v>2.0139477341098906</v>
      </c>
      <c r="AS9" s="48">
        <f t="shared" si="16"/>
        <v>22.877970397704086</v>
      </c>
      <c r="AT9" s="8">
        <v>20290.199999999993</v>
      </c>
      <c r="AU9" s="49">
        <v>361.74290594287049</v>
      </c>
      <c r="AV9" s="8">
        <v>699.91761436856711</v>
      </c>
      <c r="AW9" s="49">
        <v>43.372923575270001</v>
      </c>
      <c r="AX9" s="9">
        <f t="shared" si="17"/>
        <v>3.4495353144304505E-2</v>
      </c>
      <c r="AY9" s="10">
        <v>0.8</v>
      </c>
      <c r="AZ9" s="50">
        <v>0.1</v>
      </c>
      <c r="BA9" s="10">
        <v>6</v>
      </c>
      <c r="BD9" s="84">
        <f t="shared" si="19"/>
        <v>28.944238974186696</v>
      </c>
    </row>
    <row r="10" spans="1:184" s="7" customFormat="1" ht="15" x14ac:dyDescent="0.25">
      <c r="A10" s="73" t="s">
        <v>32</v>
      </c>
      <c r="B10" s="52" t="s">
        <v>71</v>
      </c>
      <c r="C10" s="52" t="s">
        <v>71</v>
      </c>
      <c r="D10" s="30">
        <v>40648</v>
      </c>
      <c r="E10" s="31" t="s">
        <v>65</v>
      </c>
      <c r="F10" s="32">
        <v>0.20383588874008543</v>
      </c>
      <c r="G10" s="33">
        <f xml:space="preserve"> 1000*F10/6.941</f>
        <v>29.366933977825305</v>
      </c>
      <c r="H10" s="32">
        <v>12296.164415497187</v>
      </c>
      <c r="I10" s="33">
        <f>H10/22.99</f>
        <v>534.84838692897733</v>
      </c>
      <c r="J10" s="32">
        <v>93.308230431608735</v>
      </c>
      <c r="K10" s="33">
        <f>J10/18</f>
        <v>5.1837905795338184</v>
      </c>
      <c r="L10" s="32">
        <v>443.21064768674427</v>
      </c>
      <c r="M10" s="33">
        <f>L10/39.098</f>
        <v>11.335890523472921</v>
      </c>
      <c r="N10" s="32">
        <v>1474.999920226297</v>
      </c>
      <c r="O10" s="33">
        <f>N10/24.305</f>
        <v>60.687098137267931</v>
      </c>
      <c r="P10" s="32">
        <v>468.02676763754664</v>
      </c>
      <c r="Q10" s="33">
        <f>P10/40.078</f>
        <v>11.677897291220784</v>
      </c>
      <c r="R10" s="32">
        <v>7.1766833314913736</v>
      </c>
      <c r="S10" s="33">
        <f t="shared" ref="S10:S12" si="20">1000*R10/87.62</f>
        <v>81.906908599536337</v>
      </c>
      <c r="T10" s="32">
        <v>0.86172431164340746</v>
      </c>
      <c r="U10" s="33">
        <f>1000*T10/18.998</f>
        <v>45.3586857376254</v>
      </c>
      <c r="V10" s="32">
        <v>4.2729015817120111</v>
      </c>
      <c r="W10" s="33">
        <f>1000*V10/89.1</f>
        <v>47.956246708327846</v>
      </c>
      <c r="X10" s="32">
        <v>8.9141009651115617</v>
      </c>
      <c r="Y10" s="33">
        <f>1000*X10/59.044</f>
        <v>150.97386635579505</v>
      </c>
      <c r="Z10" s="34">
        <v>2.8665055242743764</v>
      </c>
      <c r="AA10" s="35">
        <f>1000*Z10/73.08</f>
        <v>39.224213523185227</v>
      </c>
      <c r="AB10" s="34">
        <v>13.476460932080514</v>
      </c>
      <c r="AC10" s="35">
        <f>1000*AB10/45.03</f>
        <v>299.27739134089524</v>
      </c>
      <c r="AD10" s="34">
        <v>2.9203362581145416</v>
      </c>
      <c r="AE10" s="35">
        <f>1000*AD10/95.11</f>
        <v>30.704828704810659</v>
      </c>
      <c r="AF10" s="34">
        <v>18342.917990812792</v>
      </c>
      <c r="AG10" s="35">
        <f>AF10/35.453</f>
        <v>517.38690634961188</v>
      </c>
      <c r="AH10" s="34">
        <v>69.490809490502244</v>
      </c>
      <c r="AI10" s="35">
        <f>1000*AH10/79.904</f>
        <v>869.6787331110113</v>
      </c>
      <c r="AJ10" s="34">
        <v>81.879964268107756</v>
      </c>
      <c r="AK10" s="35">
        <f>AJ10/62.01</f>
        <v>1.320431612128814</v>
      </c>
      <c r="AL10" s="34" t="s">
        <v>30</v>
      </c>
      <c r="AM10" s="35"/>
      <c r="AN10" s="34" t="s">
        <v>30</v>
      </c>
      <c r="AO10" s="35"/>
      <c r="AP10" s="34">
        <v>3376.3836840189329</v>
      </c>
      <c r="AQ10" s="35">
        <f>AP10/96.079</f>
        <v>35.141744647830777</v>
      </c>
      <c r="AR10" s="34">
        <v>1.7710120448457327</v>
      </c>
      <c r="AS10" s="35">
        <f>1000*AR10/88.03</f>
        <v>20.118278369257443</v>
      </c>
      <c r="AT10" s="24">
        <v>17370.5</v>
      </c>
      <c r="AU10" s="36">
        <v>339.79358440088686</v>
      </c>
      <c r="AV10" s="24">
        <v>260.04301522587298</v>
      </c>
      <c r="AW10" s="36">
        <v>47.342468156113902</v>
      </c>
      <c r="AX10" s="25">
        <f>AV10/AT10</f>
        <v>1.4970381694589849E-2</v>
      </c>
      <c r="AY10" s="26">
        <v>12.6</v>
      </c>
      <c r="AZ10" s="37">
        <v>3</v>
      </c>
      <c r="BA10" s="26">
        <v>5.9</v>
      </c>
      <c r="BB10" s="4"/>
      <c r="BC10" s="69"/>
      <c r="BD10" s="84">
        <f t="shared" si="19"/>
        <v>31.300981048024195</v>
      </c>
    </row>
    <row r="11" spans="1:184" s="7" customFormat="1" ht="15" x14ac:dyDescent="0.25">
      <c r="A11" s="73" t="s">
        <v>33</v>
      </c>
      <c r="B11" s="52" t="s">
        <v>71</v>
      </c>
      <c r="C11" s="52" t="s">
        <v>71</v>
      </c>
      <c r="D11" s="30">
        <v>40649</v>
      </c>
      <c r="E11" s="31" t="s">
        <v>65</v>
      </c>
      <c r="F11" s="32">
        <v>0.13343017786607264</v>
      </c>
      <c r="G11" s="33">
        <f xml:space="preserve"> 1000*F11/6.941</f>
        <v>19.223480459022138</v>
      </c>
      <c r="H11" s="32">
        <v>8522.2845701840506</v>
      </c>
      <c r="I11" s="33">
        <f>H11/22.99</f>
        <v>370.69528360957162</v>
      </c>
      <c r="J11" s="32">
        <v>81.017908255090248</v>
      </c>
      <c r="K11" s="33">
        <f>J11/18</f>
        <v>4.5009949030605689</v>
      </c>
      <c r="L11" s="32">
        <v>307.92862272757844</v>
      </c>
      <c r="M11" s="33">
        <f>L11/39.098</f>
        <v>7.875815200971366</v>
      </c>
      <c r="N11" s="32">
        <v>1050.7499228371175</v>
      </c>
      <c r="O11" s="33">
        <f>N11/24.305</f>
        <v>43.231842124547114</v>
      </c>
      <c r="P11" s="32">
        <v>436.80276283934705</v>
      </c>
      <c r="Q11" s="33">
        <f>P11/40.078</f>
        <v>10.898816379044538</v>
      </c>
      <c r="R11" s="32">
        <v>4.5571269923674826</v>
      </c>
      <c r="S11" s="33">
        <f t="shared" si="20"/>
        <v>52.010123172420478</v>
      </c>
      <c r="T11" s="32">
        <v>1.0566795508073983</v>
      </c>
      <c r="U11" s="33">
        <f>1000*T11/18.998</f>
        <v>55.620567997020643</v>
      </c>
      <c r="V11" s="32">
        <v>3.0219177770610317</v>
      </c>
      <c r="W11" s="33">
        <f>1000*V11/89.1</f>
        <v>33.916024433906081</v>
      </c>
      <c r="X11" s="32">
        <v>9.0911401045069198</v>
      </c>
      <c r="Y11" s="33">
        <f>1000*X11/59.044</f>
        <v>153.97229362012939</v>
      </c>
      <c r="Z11" s="34" t="s">
        <v>30</v>
      </c>
      <c r="AA11" s="35"/>
      <c r="AB11" s="34">
        <v>27.233313012194781</v>
      </c>
      <c r="AC11" s="35">
        <f>1000*AB11/45.03</f>
        <v>604.78154590705708</v>
      </c>
      <c r="AD11" s="34">
        <v>15.319419318774155</v>
      </c>
      <c r="AE11" s="35">
        <f>1000*AD11/95.11</f>
        <v>161.07054272709658</v>
      </c>
      <c r="AF11" s="34">
        <v>13759.294052170999</v>
      </c>
      <c r="AG11" s="35">
        <f>AF11/35.453</f>
        <v>388.09956991428083</v>
      </c>
      <c r="AH11" s="34">
        <v>38.636892903953417</v>
      </c>
      <c r="AI11" s="35">
        <f>1000*AH11/79.904</f>
        <v>483.54141099260892</v>
      </c>
      <c r="AJ11" s="34">
        <v>138.06082545335468</v>
      </c>
      <c r="AK11" s="35">
        <f>AJ11/62.01</f>
        <v>2.2264284059563728</v>
      </c>
      <c r="AL11" s="34" t="s">
        <v>30</v>
      </c>
      <c r="AM11" s="35"/>
      <c r="AN11" s="34" t="s">
        <v>30</v>
      </c>
      <c r="AO11" s="35"/>
      <c r="AP11" s="34">
        <v>2509.0867290828674</v>
      </c>
      <c r="AQ11" s="35">
        <f>AP11/96.079</f>
        <v>26.11482976595164</v>
      </c>
      <c r="AR11" s="34">
        <v>4.3573750952592665</v>
      </c>
      <c r="AS11" s="35">
        <f>1000*AR11/88.03</f>
        <v>49.498751508113898</v>
      </c>
      <c r="AT11" s="24">
        <v>22862.666666666668</v>
      </c>
      <c r="AU11" s="36">
        <v>416.12177704769709</v>
      </c>
      <c r="AV11" s="24">
        <v>356.72996664224274</v>
      </c>
      <c r="AW11" s="36">
        <v>183.49706781612389</v>
      </c>
      <c r="AX11" s="25">
        <f>AV11/AT11</f>
        <v>1.5603165275656502E-2</v>
      </c>
      <c r="AY11" s="26">
        <v>3.3</v>
      </c>
      <c r="AZ11" s="37">
        <v>0.5</v>
      </c>
      <c r="BA11" s="26">
        <v>6.4</v>
      </c>
      <c r="BB11" s="4"/>
      <c r="BC11" s="69"/>
      <c r="BD11" s="84">
        <f t="shared" si="19"/>
        <v>43.703745989021996</v>
      </c>
    </row>
    <row r="12" spans="1:184" ht="15" x14ac:dyDescent="0.25">
      <c r="A12" s="74" t="s">
        <v>81</v>
      </c>
      <c r="B12" s="53" t="s">
        <v>80</v>
      </c>
      <c r="C12" s="52" t="s">
        <v>71</v>
      </c>
      <c r="D12" s="51">
        <v>40649</v>
      </c>
      <c r="E12" s="44" t="s">
        <v>77</v>
      </c>
      <c r="F12" s="45">
        <v>5.7914375073784718E-2</v>
      </c>
      <c r="G12" s="46">
        <f t="shared" ref="G12" si="21" xml:space="preserve"> 1000*F12/6.941</f>
        <v>8.3438085396606709</v>
      </c>
      <c r="H12" s="45">
        <v>3358.287414746826</v>
      </c>
      <c r="I12" s="46">
        <f t="shared" ref="I12" si="22">H12/22.99</f>
        <v>146.07600760099288</v>
      </c>
      <c r="J12" s="45">
        <v>32.838824216347327</v>
      </c>
      <c r="K12" s="46">
        <f t="shared" ref="K12" si="23">J12/18</f>
        <v>1.824379123130407</v>
      </c>
      <c r="L12" s="45">
        <v>138.2877245112806</v>
      </c>
      <c r="M12" s="46">
        <f t="shared" ref="M12" si="24">L12/39.098</f>
        <v>3.5369513660872833</v>
      </c>
      <c r="N12" s="45">
        <v>343.75340345235742</v>
      </c>
      <c r="O12" s="46">
        <f t="shared" ref="O12" si="25">N12/24.305</f>
        <v>14.143320446507197</v>
      </c>
      <c r="P12" s="45">
        <v>195.18777675230348</v>
      </c>
      <c r="Q12" s="46">
        <f t="shared" ref="Q12" si="26">P12/40.078</f>
        <v>4.8701975336170333</v>
      </c>
      <c r="R12" s="45">
        <v>0.84354671675952386</v>
      </c>
      <c r="S12" s="46">
        <f t="shared" si="20"/>
        <v>9.6273307094216367</v>
      </c>
      <c r="T12" s="45">
        <v>0.84092728833330921</v>
      </c>
      <c r="U12" s="46">
        <f t="shared" ref="U12" si="27">1000*T12/18.998</f>
        <v>44.263990332314407</v>
      </c>
      <c r="V12" s="45">
        <v>12.660884803623468</v>
      </c>
      <c r="W12" s="46">
        <f t="shared" ref="W12" si="28">1000*V12/89.1</f>
        <v>142.09747254347326</v>
      </c>
      <c r="X12" s="45">
        <v>11.682127659089312</v>
      </c>
      <c r="Y12" s="46">
        <f t="shared" ref="Y12" si="29">1000*X12/59.044</f>
        <v>197.85461112203294</v>
      </c>
      <c r="Z12" s="47" t="s">
        <v>30</v>
      </c>
      <c r="AA12" s="45" t="s">
        <v>30</v>
      </c>
      <c r="AB12" s="47">
        <v>21.290947487265495</v>
      </c>
      <c r="AC12" s="48">
        <f t="shared" ref="AC12" si="30">1000*AB12/45.03</f>
        <v>472.81695508029077</v>
      </c>
      <c r="AD12" s="47" t="s">
        <v>30</v>
      </c>
      <c r="AE12" s="45" t="s">
        <v>30</v>
      </c>
      <c r="AF12" s="47">
        <v>5924.637958177098</v>
      </c>
      <c r="AG12" s="48">
        <f t="shared" ref="AG12" si="31">AF12/35.453</f>
        <v>167.11245756853009</v>
      </c>
      <c r="AH12" s="47">
        <v>13.319337496640994</v>
      </c>
      <c r="AI12" s="48">
        <f t="shared" ref="AI12" si="32">1000*AH12/79.904</f>
        <v>166.69174880658034</v>
      </c>
      <c r="AJ12" s="47">
        <v>19.010559836542328</v>
      </c>
      <c r="AK12" s="48">
        <f t="shared" ref="AK12" si="33">AJ12/62.01</f>
        <v>0.30657248567234846</v>
      </c>
      <c r="AL12" s="47" t="s">
        <v>30</v>
      </c>
      <c r="AM12" s="45" t="s">
        <v>30</v>
      </c>
      <c r="AN12" s="47" t="s">
        <v>30</v>
      </c>
      <c r="AO12" s="45" t="s">
        <v>30</v>
      </c>
      <c r="AP12" s="47">
        <v>647.10124735574811</v>
      </c>
      <c r="AQ12" s="48">
        <f t="shared" ref="AQ12" si="34">AP12/96.079</f>
        <v>6.7350955708921632</v>
      </c>
      <c r="AR12" s="47">
        <v>6.299457743855676</v>
      </c>
      <c r="AS12" s="48">
        <f t="shared" ref="AS12" si="35">1000*AR12/88.03</f>
        <v>71.560351514888964</v>
      </c>
      <c r="AT12" s="8">
        <v>20872.600000000002</v>
      </c>
      <c r="AU12" s="49">
        <v>132.55530921090556</v>
      </c>
      <c r="AV12" s="8">
        <v>412.95336408179952</v>
      </c>
      <c r="AW12" s="49">
        <v>58.081539649511143</v>
      </c>
      <c r="AX12" s="9">
        <f t="shared" ref="AX12" si="36">AV12/AT12</f>
        <v>1.9784471703659316E-2</v>
      </c>
      <c r="AY12" s="47" t="s">
        <v>66</v>
      </c>
      <c r="AZ12" s="47" t="s">
        <v>66</v>
      </c>
      <c r="BA12" s="10">
        <v>6.2</v>
      </c>
      <c r="BD12" s="84">
        <f t="shared" si="19"/>
        <v>51.933417693833952</v>
      </c>
    </row>
    <row r="13" spans="1:184" s="7" customFormat="1" ht="15" x14ac:dyDescent="0.25">
      <c r="A13" s="73" t="s">
        <v>34</v>
      </c>
      <c r="B13" s="52" t="s">
        <v>71</v>
      </c>
      <c r="C13" s="53" t="s">
        <v>80</v>
      </c>
      <c r="D13" s="30">
        <v>40651</v>
      </c>
      <c r="E13" s="31" t="s">
        <v>65</v>
      </c>
      <c r="F13" s="32">
        <v>0.22086952846766916</v>
      </c>
      <c r="G13" s="33">
        <f t="shared" ref="G13:G27" si="37" xml:space="preserve"> 1000*F13/6.941</f>
        <v>31.820995313019619</v>
      </c>
      <c r="H13" s="32">
        <v>13441.576801389308</v>
      </c>
      <c r="I13" s="33">
        <f t="shared" ref="I13:I27" si="38">H13/22.99</f>
        <v>584.67058727226231</v>
      </c>
      <c r="J13" s="32">
        <v>116.29475873428345</v>
      </c>
      <c r="K13" s="33">
        <f t="shared" ref="K13:K27" si="39">J13/18</f>
        <v>6.4608199296824136</v>
      </c>
      <c r="L13" s="32">
        <v>486.85296212352472</v>
      </c>
      <c r="M13" s="33">
        <f t="shared" ref="M13:M27" si="40">L13/39.098</f>
        <v>12.452119344302131</v>
      </c>
      <c r="N13" s="32">
        <v>1631.4121662357406</v>
      </c>
      <c r="O13" s="33">
        <f t="shared" ref="O13:O27" si="41">N13/24.305</f>
        <v>67.122491924943049</v>
      </c>
      <c r="P13" s="32">
        <v>592.68349982343068</v>
      </c>
      <c r="Q13" s="33">
        <f t="shared" ref="Q13:Q27" si="42">P13/40.078</f>
        <v>14.788250407291548</v>
      </c>
      <c r="R13" s="32">
        <v>6.7996070207988879</v>
      </c>
      <c r="S13" s="33">
        <f t="shared" ref="S13:S19" si="43">1000*R13/87.62</f>
        <v>77.603367048606344</v>
      </c>
      <c r="T13" s="32">
        <v>1.4062230221791476</v>
      </c>
      <c r="U13" s="33">
        <f t="shared" ref="U13:U27" si="44">1000*T13/18.998</f>
        <v>74.019529538853959</v>
      </c>
      <c r="V13" s="32">
        <v>5.0016055050561405</v>
      </c>
      <c r="W13" s="33">
        <f>1000*V13/89.1</f>
        <v>56.134741919822012</v>
      </c>
      <c r="X13" s="32">
        <v>15.500843204495643</v>
      </c>
      <c r="Y13" s="33">
        <f t="shared" ref="Y13:Y27" si="45">1000*X13/59.044</f>
        <v>262.53037064724009</v>
      </c>
      <c r="Z13" s="34" t="s">
        <v>30</v>
      </c>
      <c r="AA13" s="35"/>
      <c r="AB13" s="34">
        <v>21.79754676084254</v>
      </c>
      <c r="AC13" s="35">
        <f>1000*AB13/45.03</f>
        <v>484.06721654102904</v>
      </c>
      <c r="AD13" s="34">
        <v>7.2842295179130234</v>
      </c>
      <c r="AE13" s="35">
        <f>1000*AD13/95.11</f>
        <v>76.587420018010974</v>
      </c>
      <c r="AF13" s="34">
        <v>19527.251868750482</v>
      </c>
      <c r="AG13" s="35">
        <f t="shared" ref="AG13:AG27" si="46">AF13/35.453</f>
        <v>550.79265136238064</v>
      </c>
      <c r="AH13" s="34">
        <v>61.551697311541389</v>
      </c>
      <c r="AI13" s="35">
        <f t="shared" ref="AI13:AI27" si="47">1000*AH13/79.904</f>
        <v>770.32060111560611</v>
      </c>
      <c r="AJ13" s="34">
        <v>127.9385955003701</v>
      </c>
      <c r="AK13" s="35">
        <f t="shared" ref="AK13:AK27" si="48">AJ13/62.01</f>
        <v>2.0631929608187405</v>
      </c>
      <c r="AL13" s="34" t="s">
        <v>30</v>
      </c>
      <c r="AM13" s="35"/>
      <c r="AN13" s="34">
        <v>3.0986483980400088</v>
      </c>
      <c r="AO13" s="35">
        <f t="shared" ref="AO13:AO27" si="49">1000*AN13/116.09</f>
        <v>26.691777052631654</v>
      </c>
      <c r="AP13" s="34">
        <v>3898.1110984875722</v>
      </c>
      <c r="AQ13" s="35">
        <f t="shared" ref="AQ13:AQ27" si="50">AP13/96.079</f>
        <v>40.571936619735553</v>
      </c>
      <c r="AR13" s="34">
        <v>2.6090774471933478</v>
      </c>
      <c r="AS13" s="35">
        <f>1000*AR13/88.03</f>
        <v>29.638503319247391</v>
      </c>
      <c r="AT13" s="24">
        <v>25084.500000000011</v>
      </c>
      <c r="AU13" s="36">
        <v>309.23525025456581</v>
      </c>
      <c r="AV13" s="24">
        <v>416.78913218395411</v>
      </c>
      <c r="AW13" s="36">
        <v>195.39589530347081</v>
      </c>
      <c r="AX13" s="25">
        <f t="shared" ref="AX13:AX27" si="51">AV13/AT13</f>
        <v>1.6615405217722257E-2</v>
      </c>
      <c r="AY13" s="26">
        <v>10.5</v>
      </c>
      <c r="AZ13" s="37">
        <v>1</v>
      </c>
      <c r="BA13" s="26">
        <v>6.2</v>
      </c>
      <c r="BB13" s="4"/>
      <c r="BC13" s="69"/>
      <c r="BD13" s="84">
        <f t="shared" si="19"/>
        <v>48.007721315627684</v>
      </c>
    </row>
    <row r="14" spans="1:184" s="7" customFormat="1" ht="15" x14ac:dyDescent="0.25">
      <c r="A14" s="73" t="s">
        <v>35</v>
      </c>
      <c r="B14" s="52" t="s">
        <v>71</v>
      </c>
      <c r="C14" s="53" t="s">
        <v>80</v>
      </c>
      <c r="D14" s="30">
        <v>40652</v>
      </c>
      <c r="E14" s="31" t="s">
        <v>65</v>
      </c>
      <c r="F14" s="32">
        <v>0.23733538020433348</v>
      </c>
      <c r="G14" s="33">
        <f t="shared" si="37"/>
        <v>34.193254603707459</v>
      </c>
      <c r="H14" s="32">
        <v>12894.460253927091</v>
      </c>
      <c r="I14" s="33">
        <f t="shared" si="38"/>
        <v>560.87256432914705</v>
      </c>
      <c r="J14" s="32">
        <v>88.87596266805248</v>
      </c>
      <c r="K14" s="33">
        <f t="shared" si="39"/>
        <v>4.9375534815584707</v>
      </c>
      <c r="L14" s="32">
        <v>468.64506444144689</v>
      </c>
      <c r="M14" s="33">
        <f t="shared" si="40"/>
        <v>11.986420390849837</v>
      </c>
      <c r="N14" s="32">
        <v>1559.5039343400717</v>
      </c>
      <c r="O14" s="33">
        <f t="shared" si="41"/>
        <v>64.163914188030105</v>
      </c>
      <c r="P14" s="32">
        <v>505.15689762470788</v>
      </c>
      <c r="Q14" s="33">
        <f t="shared" si="42"/>
        <v>12.604343969876437</v>
      </c>
      <c r="R14" s="32">
        <v>5.8670159912173725</v>
      </c>
      <c r="S14" s="33">
        <f t="shared" si="43"/>
        <v>66.959780771711621</v>
      </c>
      <c r="T14" s="32">
        <v>1.0111927190819723</v>
      </c>
      <c r="U14" s="33">
        <f t="shared" si="44"/>
        <v>53.226272190860733</v>
      </c>
      <c r="V14" s="34" t="s">
        <v>30</v>
      </c>
      <c r="W14" s="33"/>
      <c r="X14" s="32">
        <v>7.1393527099886764</v>
      </c>
      <c r="Y14" s="33">
        <f t="shared" si="45"/>
        <v>120.91580363777312</v>
      </c>
      <c r="Z14" s="34" t="s">
        <v>30</v>
      </c>
      <c r="AA14" s="35"/>
      <c r="AB14" s="34">
        <v>16.358079434421992</v>
      </c>
      <c r="AC14" s="35">
        <f>1000*AB14/45.03</f>
        <v>363.27069585658433</v>
      </c>
      <c r="AD14" s="34">
        <v>2.5133286967188</v>
      </c>
      <c r="AE14" s="35">
        <f>1000*AD14/95.11</f>
        <v>26.425493604445379</v>
      </c>
      <c r="AF14" s="34">
        <v>18980.901412111398</v>
      </c>
      <c r="AG14" s="35">
        <f t="shared" si="46"/>
        <v>535.3820949457421</v>
      </c>
      <c r="AH14" s="34">
        <v>66.001948260648689</v>
      </c>
      <c r="AI14" s="35">
        <f t="shared" si="47"/>
        <v>826.01557194444194</v>
      </c>
      <c r="AJ14" s="34">
        <v>75.006413936400847</v>
      </c>
      <c r="AK14" s="35">
        <f t="shared" si="48"/>
        <v>1.2095857754620361</v>
      </c>
      <c r="AL14" s="34" t="s">
        <v>30</v>
      </c>
      <c r="AM14" s="35"/>
      <c r="AN14" s="34" t="s">
        <v>30</v>
      </c>
      <c r="AO14" s="35"/>
      <c r="AP14" s="34">
        <v>3516.9292719720438</v>
      </c>
      <c r="AQ14" s="35">
        <f t="shared" si="50"/>
        <v>36.604557416001875</v>
      </c>
      <c r="AR14" s="34">
        <v>2.0759759351807143</v>
      </c>
      <c r="AS14" s="35">
        <f>1000*AR14/88.03</f>
        <v>23.582596105653916</v>
      </c>
      <c r="AT14" s="24">
        <v>15484.700000000003</v>
      </c>
      <c r="AU14" s="36">
        <v>320.9795787896773</v>
      </c>
      <c r="AV14" s="24">
        <v>275.20866849798614</v>
      </c>
      <c r="AW14" s="36">
        <v>106.28617639608886</v>
      </c>
      <c r="AX14" s="25">
        <f t="shared" si="51"/>
        <v>1.7772941580914456E-2</v>
      </c>
      <c r="AY14" s="26">
        <v>9.1999999999999993</v>
      </c>
      <c r="AZ14" s="37">
        <v>1.4</v>
      </c>
      <c r="BA14" s="26">
        <v>5.6</v>
      </c>
      <c r="BB14" s="4"/>
      <c r="BC14" s="69"/>
      <c r="BD14" s="84">
        <f t="shared" si="19"/>
        <v>25.573408079591381</v>
      </c>
    </row>
    <row r="15" spans="1:184" s="14" customFormat="1" ht="15" x14ac:dyDescent="0.25">
      <c r="A15" s="73" t="s">
        <v>36</v>
      </c>
      <c r="B15" s="52" t="s">
        <v>71</v>
      </c>
      <c r="C15" s="53" t="s">
        <v>80</v>
      </c>
      <c r="D15" s="30">
        <v>40654</v>
      </c>
      <c r="E15" s="31" t="s">
        <v>65</v>
      </c>
      <c r="F15" s="32">
        <v>11.298981019297214</v>
      </c>
      <c r="G15" s="33">
        <f t="shared" si="37"/>
        <v>1627.8606856788956</v>
      </c>
      <c r="H15" s="32">
        <v>707403.32792804891</v>
      </c>
      <c r="I15" s="33">
        <f t="shared" si="38"/>
        <v>30770.044711963852</v>
      </c>
      <c r="J15" s="32">
        <v>208.34297141590767</v>
      </c>
      <c r="K15" s="33">
        <f t="shared" si="39"/>
        <v>11.574609523105982</v>
      </c>
      <c r="L15" s="32">
        <v>25487.911100461686</v>
      </c>
      <c r="M15" s="33">
        <f t="shared" si="40"/>
        <v>651.89807919744453</v>
      </c>
      <c r="N15" s="32">
        <v>84792.472021317139</v>
      </c>
      <c r="O15" s="33">
        <f t="shared" si="41"/>
        <v>3488.6843045182941</v>
      </c>
      <c r="P15" s="32">
        <v>25651.590872372442</v>
      </c>
      <c r="Q15" s="33">
        <f t="shared" si="42"/>
        <v>640.04169051281099</v>
      </c>
      <c r="R15" s="32">
        <v>376.51637517688567</v>
      </c>
      <c r="S15" s="33">
        <f t="shared" si="43"/>
        <v>4297.1510520073689</v>
      </c>
      <c r="T15" s="32">
        <v>57.833505042596947</v>
      </c>
      <c r="U15" s="33">
        <f t="shared" si="44"/>
        <v>3044.1891274132508</v>
      </c>
      <c r="V15" s="34" t="s">
        <v>30</v>
      </c>
      <c r="W15" s="33"/>
      <c r="X15" s="32">
        <v>360.08117046370609</v>
      </c>
      <c r="Y15" s="33">
        <f t="shared" si="45"/>
        <v>6098.5226350468483</v>
      </c>
      <c r="Z15" s="34" t="s">
        <v>30</v>
      </c>
      <c r="AA15" s="35"/>
      <c r="AB15" s="34">
        <v>1636.850646932058</v>
      </c>
      <c r="AC15" s="35">
        <f>1000*AB15/45.03</f>
        <v>36350.225337154297</v>
      </c>
      <c r="AD15" s="34" t="s">
        <v>30</v>
      </c>
      <c r="AE15" s="35"/>
      <c r="AF15" s="34">
        <v>1181966.5242890248</v>
      </c>
      <c r="AG15" s="35">
        <f t="shared" si="46"/>
        <v>33338.970588921242</v>
      </c>
      <c r="AH15" s="34">
        <v>4035.9837730049408</v>
      </c>
      <c r="AI15" s="35">
        <f t="shared" si="47"/>
        <v>50510.409654146737</v>
      </c>
      <c r="AJ15" s="34">
        <v>220.64803589010791</v>
      </c>
      <c r="AK15" s="35">
        <f t="shared" si="48"/>
        <v>3.5582653747800017</v>
      </c>
      <c r="AL15" s="34">
        <v>187.73891357622034</v>
      </c>
      <c r="AM15" s="35">
        <f t="shared" ref="AM15" si="52">1000*AL15/130.12</f>
        <v>1442.8136610530305</v>
      </c>
      <c r="AN15" s="34"/>
      <c r="AO15" s="35"/>
      <c r="AP15" s="34">
        <v>169560.17087878034</v>
      </c>
      <c r="AQ15" s="35">
        <f t="shared" si="50"/>
        <v>1764.7994970678333</v>
      </c>
      <c r="AR15" s="34" t="s">
        <v>30</v>
      </c>
      <c r="AS15" s="35"/>
      <c r="AT15" s="24">
        <v>70275.099999999991</v>
      </c>
      <c r="AU15" s="36">
        <v>2459.2105867534324</v>
      </c>
      <c r="AV15" s="24">
        <v>1940.5756353146853</v>
      </c>
      <c r="AW15" s="36">
        <v>659.75461378071634</v>
      </c>
      <c r="AX15" s="25">
        <f t="shared" si="51"/>
        <v>2.7613986110509775E-2</v>
      </c>
      <c r="AY15" s="26">
        <v>1.6</v>
      </c>
      <c r="AZ15" s="37">
        <v>0.2</v>
      </c>
      <c r="BA15" s="26">
        <v>7</v>
      </c>
      <c r="BB15" s="4"/>
      <c r="BC15" s="69"/>
      <c r="BD15" s="84">
        <f t="shared" si="19"/>
        <v>2184.6707309719845</v>
      </c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</row>
    <row r="16" spans="1:184" s="7" customFormat="1" ht="15" x14ac:dyDescent="0.25">
      <c r="A16" s="73" t="s">
        <v>37</v>
      </c>
      <c r="B16" s="52" t="s">
        <v>71</v>
      </c>
      <c r="C16" s="53" t="s">
        <v>80</v>
      </c>
      <c r="D16" s="30">
        <v>40655</v>
      </c>
      <c r="E16" s="31" t="s">
        <v>65</v>
      </c>
      <c r="F16" s="32">
        <v>1.7130163686040047</v>
      </c>
      <c r="G16" s="33">
        <f t="shared" si="37"/>
        <v>246.7967682760416</v>
      </c>
      <c r="H16" s="32">
        <v>115645.73058370622</v>
      </c>
      <c r="I16" s="33">
        <f t="shared" si="38"/>
        <v>5030.2623133408533</v>
      </c>
      <c r="J16" s="32">
        <v>269.01639308387331</v>
      </c>
      <c r="K16" s="33">
        <f t="shared" si="39"/>
        <v>14.945355171326295</v>
      </c>
      <c r="L16" s="32">
        <v>4354.6867269357863</v>
      </c>
      <c r="M16" s="33">
        <f t="shared" si="40"/>
        <v>111.37875919320135</v>
      </c>
      <c r="N16" s="32">
        <v>12963.877672492734</v>
      </c>
      <c r="O16" s="33">
        <f t="shared" si="41"/>
        <v>533.38315871190014</v>
      </c>
      <c r="P16" s="32">
        <v>4251.6036957891747</v>
      </c>
      <c r="Q16" s="33">
        <f t="shared" si="42"/>
        <v>106.08323009604207</v>
      </c>
      <c r="R16" s="32">
        <v>76.496163695398977</v>
      </c>
      <c r="S16" s="33">
        <f t="shared" si="43"/>
        <v>873.04455256104745</v>
      </c>
      <c r="T16" s="32">
        <v>5.4636401347139438</v>
      </c>
      <c r="U16" s="33">
        <f t="shared" si="44"/>
        <v>287.59027975123399</v>
      </c>
      <c r="V16" s="34" t="s">
        <v>30</v>
      </c>
      <c r="W16" s="33"/>
      <c r="X16" s="32">
        <v>33.963562822758917</v>
      </c>
      <c r="Y16" s="33">
        <f t="shared" si="45"/>
        <v>575.22462608832257</v>
      </c>
      <c r="Z16" s="34" t="s">
        <v>30</v>
      </c>
      <c r="AA16" s="35"/>
      <c r="AB16" s="34">
        <v>85.971557442116108</v>
      </c>
      <c r="AC16" s="35">
        <f>1000*AB16/45.03</f>
        <v>1909.2062501025118</v>
      </c>
      <c r="AD16" s="34" t="s">
        <v>30</v>
      </c>
      <c r="AE16" s="35"/>
      <c r="AF16" s="34">
        <v>204862.10885174584</v>
      </c>
      <c r="AG16" s="35">
        <f t="shared" si="46"/>
        <v>5778.4139241177281</v>
      </c>
      <c r="AH16" s="34">
        <v>864.39730310847847</v>
      </c>
      <c r="AI16" s="35">
        <f t="shared" si="47"/>
        <v>10817.947826247479</v>
      </c>
      <c r="AJ16" s="34">
        <v>146.47087118320985</v>
      </c>
      <c r="AK16" s="35">
        <f t="shared" si="48"/>
        <v>2.3620524299824197</v>
      </c>
      <c r="AL16" s="34" t="s">
        <v>30</v>
      </c>
      <c r="AM16" s="35"/>
      <c r="AN16" s="34" t="s">
        <v>30</v>
      </c>
      <c r="AO16" s="35"/>
      <c r="AP16" s="34">
        <v>27657.591966932472</v>
      </c>
      <c r="AQ16" s="35">
        <f t="shared" si="50"/>
        <v>287.86302903790084</v>
      </c>
      <c r="AR16" s="34">
        <v>1.3690625025351717</v>
      </c>
      <c r="AS16" s="35">
        <f t="shared" ref="AS16:AS27" si="53">1000*AR16/88.03</f>
        <v>15.552226542487466</v>
      </c>
      <c r="AT16" s="24">
        <v>52988</v>
      </c>
      <c r="AU16" s="36">
        <v>1003.0672958480901</v>
      </c>
      <c r="AV16" s="24">
        <v>1112.3070617136227</v>
      </c>
      <c r="AW16" s="36">
        <v>230.3579966268434</v>
      </c>
      <c r="AX16" s="25">
        <f t="shared" si="51"/>
        <v>2.099167852558358E-2</v>
      </c>
      <c r="AY16" s="26">
        <v>8.9</v>
      </c>
      <c r="AZ16" s="37">
        <v>0.8</v>
      </c>
      <c r="BA16" s="26">
        <v>6.4</v>
      </c>
      <c r="BB16" s="4"/>
      <c r="BC16" s="69"/>
      <c r="BD16" s="84">
        <f t="shared" si="19"/>
        <v>121.3041827674102</v>
      </c>
    </row>
    <row r="17" spans="1:56" s="7" customFormat="1" ht="15" x14ac:dyDescent="0.25">
      <c r="A17" s="73" t="s">
        <v>38</v>
      </c>
      <c r="B17" s="52" t="s">
        <v>71</v>
      </c>
      <c r="C17" s="53" t="s">
        <v>80</v>
      </c>
      <c r="D17" s="30">
        <v>40656</v>
      </c>
      <c r="E17" s="31" t="s">
        <v>65</v>
      </c>
      <c r="F17" s="32">
        <v>5.187311085040168</v>
      </c>
      <c r="G17" s="33">
        <f t="shared" si="37"/>
        <v>747.34347861117533</v>
      </c>
      <c r="H17" s="32">
        <v>398212.18193337705</v>
      </c>
      <c r="I17" s="33">
        <f t="shared" si="38"/>
        <v>17321.10404233915</v>
      </c>
      <c r="J17" s="32">
        <v>128.22294023897862</v>
      </c>
      <c r="K17" s="33">
        <f t="shared" si="39"/>
        <v>7.1234966799432566</v>
      </c>
      <c r="L17" s="32">
        <v>14019.439510545808</v>
      </c>
      <c r="M17" s="33">
        <f t="shared" si="40"/>
        <v>358.57178143500454</v>
      </c>
      <c r="N17" s="32">
        <v>47381.211485307809</v>
      </c>
      <c r="O17" s="33">
        <f t="shared" si="41"/>
        <v>1949.4429740920721</v>
      </c>
      <c r="P17" s="32">
        <v>15842.539196151823</v>
      </c>
      <c r="Q17" s="33">
        <f t="shared" si="42"/>
        <v>395.29265921831984</v>
      </c>
      <c r="R17" s="32">
        <v>261.52887616711075</v>
      </c>
      <c r="S17" s="33">
        <f t="shared" si="43"/>
        <v>2984.8079909508187</v>
      </c>
      <c r="T17" s="32">
        <v>60.823695498255638</v>
      </c>
      <c r="U17" s="33">
        <f t="shared" si="44"/>
        <v>3201.5841403440172</v>
      </c>
      <c r="V17" s="34" t="s">
        <v>30</v>
      </c>
      <c r="W17" s="33"/>
      <c r="X17" s="32"/>
      <c r="Y17" s="33">
        <f t="shared" si="45"/>
        <v>0</v>
      </c>
      <c r="Z17" s="34" t="s">
        <v>30</v>
      </c>
      <c r="AA17" s="35"/>
      <c r="AB17" s="34" t="s">
        <v>66</v>
      </c>
      <c r="AC17" s="35"/>
      <c r="AD17" s="34" t="s">
        <v>30</v>
      </c>
      <c r="AE17" s="35"/>
      <c r="AF17" s="34">
        <v>706762.28399734129</v>
      </c>
      <c r="AG17" s="35">
        <f t="shared" si="46"/>
        <v>19935.189800506058</v>
      </c>
      <c r="AH17" s="34">
        <v>2993.0725882581823</v>
      </c>
      <c r="AI17" s="35">
        <f t="shared" si="47"/>
        <v>37458.357382085778</v>
      </c>
      <c r="AJ17" s="34">
        <v>226.62270552658177</v>
      </c>
      <c r="AK17" s="35">
        <f t="shared" si="48"/>
        <v>3.6546154737394256</v>
      </c>
      <c r="AL17" s="34" t="s">
        <v>30</v>
      </c>
      <c r="AM17" s="35"/>
      <c r="AN17" s="34" t="s">
        <v>30</v>
      </c>
      <c r="AO17" s="35"/>
      <c r="AP17" s="34">
        <v>92787.711392871774</v>
      </c>
      <c r="AQ17" s="35">
        <f t="shared" si="50"/>
        <v>965.74393356375253</v>
      </c>
      <c r="AR17" s="34">
        <v>3.7824403493359955</v>
      </c>
      <c r="AS17" s="35">
        <f t="shared" si="53"/>
        <v>42.967628641781161</v>
      </c>
      <c r="AT17" s="24">
        <v>214572.40000000011</v>
      </c>
      <c r="AU17" s="36">
        <v>518.72267156931798</v>
      </c>
      <c r="AV17" s="24">
        <v>5233.342041324534</v>
      </c>
      <c r="AW17" s="36">
        <v>574.34148666972408</v>
      </c>
      <c r="AX17" s="25">
        <f t="shared" si="51"/>
        <v>2.4389632782802127E-2</v>
      </c>
      <c r="AY17" s="26">
        <v>11.7</v>
      </c>
      <c r="AZ17" s="37">
        <v>1.1000000000000001</v>
      </c>
      <c r="BA17" s="26">
        <v>6.6</v>
      </c>
      <c r="BB17" s="4"/>
      <c r="BC17" s="69"/>
      <c r="BD17" s="84">
        <f t="shared" si="19"/>
        <v>3.7824403493359955</v>
      </c>
    </row>
    <row r="18" spans="1:56" s="7" customFormat="1" ht="15" x14ac:dyDescent="0.25">
      <c r="A18" s="73" t="s">
        <v>39</v>
      </c>
      <c r="B18" s="52" t="s">
        <v>71</v>
      </c>
      <c r="C18" s="53" t="s">
        <v>80</v>
      </c>
      <c r="D18" s="30">
        <v>40657</v>
      </c>
      <c r="E18" s="31" t="s">
        <v>65</v>
      </c>
      <c r="F18" s="32">
        <v>4.0880735346200972E-2</v>
      </c>
      <c r="G18" s="33">
        <f t="shared" si="37"/>
        <v>5.8897472044663557</v>
      </c>
      <c r="H18" s="32">
        <v>3345.4295633214465</v>
      </c>
      <c r="I18" s="33">
        <f t="shared" si="38"/>
        <v>145.51672741720083</v>
      </c>
      <c r="J18" s="32">
        <v>39.840137839101821</v>
      </c>
      <c r="K18" s="33">
        <f t="shared" si="39"/>
        <v>2.2133409910612123</v>
      </c>
      <c r="L18" s="32">
        <v>111.96461011622307</v>
      </c>
      <c r="M18" s="33">
        <f t="shared" si="40"/>
        <v>2.8636914961436153</v>
      </c>
      <c r="N18" s="32">
        <v>327.87283173413948</v>
      </c>
      <c r="O18" s="33">
        <f t="shared" si="41"/>
        <v>13.489933418397017</v>
      </c>
      <c r="P18" s="32">
        <v>127.13611388926547</v>
      </c>
      <c r="Q18" s="33">
        <f t="shared" si="42"/>
        <v>3.1722170240347687</v>
      </c>
      <c r="R18" s="32">
        <v>1.2486923619273425</v>
      </c>
      <c r="S18" s="33">
        <f t="shared" si="43"/>
        <v>14.251225313026049</v>
      </c>
      <c r="T18" s="32">
        <v>1.0774729788594319</v>
      </c>
      <c r="U18" s="33">
        <f t="shared" si="44"/>
        <v>56.715074158302556</v>
      </c>
      <c r="V18" s="32">
        <v>2.0376779732127326</v>
      </c>
      <c r="W18" s="33">
        <f>1000*V18/89.1</f>
        <v>22.86956198891956</v>
      </c>
      <c r="X18" s="32">
        <v>1.4135948384403978</v>
      </c>
      <c r="Y18" s="33">
        <f t="shared" si="45"/>
        <v>23.941379961391469</v>
      </c>
      <c r="Z18" s="34" t="s">
        <v>30</v>
      </c>
      <c r="AA18" s="35"/>
      <c r="AB18" s="34">
        <v>2.2120426417878605</v>
      </c>
      <c r="AC18" s="35">
        <f>1000*AB18/45.03</f>
        <v>49.123753981520338</v>
      </c>
      <c r="AD18" s="34" t="s">
        <v>30</v>
      </c>
      <c r="AE18" s="35"/>
      <c r="AF18" s="34">
        <v>5907.6827227514577</v>
      </c>
      <c r="AG18" s="35">
        <f t="shared" si="46"/>
        <v>166.63421213300586</v>
      </c>
      <c r="AH18" s="34">
        <v>11.848714850261876</v>
      </c>
      <c r="AI18" s="35">
        <f t="shared" si="47"/>
        <v>148.28687988413444</v>
      </c>
      <c r="AJ18" s="34">
        <v>16.998784850400913</v>
      </c>
      <c r="AK18" s="35">
        <f t="shared" si="48"/>
        <v>0.27412973472667174</v>
      </c>
      <c r="AL18" s="34" t="s">
        <v>30</v>
      </c>
      <c r="AM18" s="35"/>
      <c r="AN18" s="34" t="s">
        <v>30</v>
      </c>
      <c r="AO18" s="35"/>
      <c r="AP18" s="34">
        <v>652.44583354016481</v>
      </c>
      <c r="AQ18" s="35">
        <f t="shared" si="50"/>
        <v>6.7907225672640728</v>
      </c>
      <c r="AR18" s="34">
        <v>0.96871985832096863</v>
      </c>
      <c r="AS18" s="35">
        <f t="shared" si="53"/>
        <v>11.004428698409278</v>
      </c>
      <c r="AT18" s="24">
        <v>47339.6</v>
      </c>
      <c r="AU18" s="36">
        <v>736.91849617172034</v>
      </c>
      <c r="AV18" s="24">
        <v>775.87389320545424</v>
      </c>
      <c r="AW18" s="36">
        <v>51.031184027626459</v>
      </c>
      <c r="AX18" s="25">
        <f t="shared" si="51"/>
        <v>1.6389532087416333E-2</v>
      </c>
      <c r="AY18" s="26">
        <v>1</v>
      </c>
      <c r="AZ18" s="37">
        <v>0.2</v>
      </c>
      <c r="BA18" s="26">
        <v>6.1</v>
      </c>
      <c r="BB18" s="4"/>
      <c r="BC18" s="69"/>
      <c r="BD18" s="84">
        <f t="shared" si="19"/>
        <v>6.6320353117619586</v>
      </c>
    </row>
    <row r="19" spans="1:56" s="7" customFormat="1" ht="15" x14ac:dyDescent="0.25">
      <c r="A19" s="73" t="s">
        <v>40</v>
      </c>
      <c r="B19" s="52" t="s">
        <v>71</v>
      </c>
      <c r="C19" s="53" t="s">
        <v>80</v>
      </c>
      <c r="D19" s="30">
        <v>40658</v>
      </c>
      <c r="E19" s="31" t="s">
        <v>65</v>
      </c>
      <c r="F19" s="32">
        <v>7.0405710874012789E-2</v>
      </c>
      <c r="G19" s="33">
        <f t="shared" si="37"/>
        <v>10.143453518803167</v>
      </c>
      <c r="H19" s="32">
        <v>3014.3674641669377</v>
      </c>
      <c r="I19" s="33">
        <f t="shared" si="38"/>
        <v>131.11646212122392</v>
      </c>
      <c r="J19" s="32">
        <v>35.757750114550916</v>
      </c>
      <c r="K19" s="33">
        <f t="shared" si="39"/>
        <v>1.9865416730306065</v>
      </c>
      <c r="L19" s="32">
        <v>110.42625716820501</v>
      </c>
      <c r="M19" s="33">
        <f t="shared" si="40"/>
        <v>2.8243454183898158</v>
      </c>
      <c r="N19" s="32">
        <v>322.81427745847594</v>
      </c>
      <c r="O19" s="33">
        <f t="shared" si="41"/>
        <v>13.281805285269531</v>
      </c>
      <c r="P19" s="32">
        <v>145.26121177543087</v>
      </c>
      <c r="Q19" s="33">
        <f t="shared" si="42"/>
        <v>3.6244625923307265</v>
      </c>
      <c r="R19" s="32">
        <v>1.1414067263416032</v>
      </c>
      <c r="S19" s="33">
        <f t="shared" si="43"/>
        <v>13.026782998648747</v>
      </c>
      <c r="T19" s="32">
        <v>1.0579791502104288</v>
      </c>
      <c r="U19" s="33">
        <f t="shared" si="44"/>
        <v>55.688975166355867</v>
      </c>
      <c r="V19" s="34" t="s">
        <v>30</v>
      </c>
      <c r="W19" s="33"/>
      <c r="X19" s="32">
        <v>1.6322790279878925</v>
      </c>
      <c r="Y19" s="33">
        <f t="shared" si="45"/>
        <v>27.645129530314556</v>
      </c>
      <c r="Z19" s="34" t="s">
        <v>30</v>
      </c>
      <c r="AA19" s="35"/>
      <c r="AB19" s="34" t="s">
        <v>66</v>
      </c>
      <c r="AC19" s="35"/>
      <c r="AD19" s="34" t="s">
        <v>30</v>
      </c>
      <c r="AE19" s="35"/>
      <c r="AF19" s="34">
        <v>5351.1859155838019</v>
      </c>
      <c r="AG19" s="35">
        <f t="shared" si="46"/>
        <v>150.93746412387674</v>
      </c>
      <c r="AH19" s="34">
        <v>12.612842964078988</v>
      </c>
      <c r="AI19" s="35">
        <f t="shared" si="47"/>
        <v>157.84995699938662</v>
      </c>
      <c r="AJ19" s="34">
        <v>16.768303777000561</v>
      </c>
      <c r="AK19" s="35">
        <f t="shared" si="48"/>
        <v>0.2704128975487915</v>
      </c>
      <c r="AL19" s="34" t="s">
        <v>30</v>
      </c>
      <c r="AM19" s="35"/>
      <c r="AN19" s="34" t="s">
        <v>30</v>
      </c>
      <c r="AO19" s="35"/>
      <c r="AP19" s="34">
        <v>656.17679943995995</v>
      </c>
      <c r="AQ19" s="35">
        <f t="shared" si="50"/>
        <v>6.8295548396627774</v>
      </c>
      <c r="AR19" s="34">
        <v>1.7585721448115579</v>
      </c>
      <c r="AS19" s="35">
        <f t="shared" si="53"/>
        <v>19.976964044207175</v>
      </c>
      <c r="AT19" s="24">
        <v>118589.79999999999</v>
      </c>
      <c r="AU19" s="36">
        <v>1877.8583892295828</v>
      </c>
      <c r="AV19" s="24">
        <v>1932.1676170935561</v>
      </c>
      <c r="AW19" s="36">
        <v>117.77518205490401</v>
      </c>
      <c r="AX19" s="25">
        <f t="shared" si="51"/>
        <v>1.6292865129155766E-2</v>
      </c>
      <c r="AY19" s="26">
        <v>2.2000000000000002</v>
      </c>
      <c r="AZ19" s="37">
        <v>0.3</v>
      </c>
      <c r="BA19" s="26">
        <v>6</v>
      </c>
      <c r="BB19" s="4"/>
      <c r="BC19" s="69"/>
      <c r="BD19" s="84">
        <f t="shared" si="19"/>
        <v>3.3908511727994504</v>
      </c>
    </row>
    <row r="20" spans="1:56" s="7" customFormat="1" ht="15" x14ac:dyDescent="0.25">
      <c r="A20" s="73" t="s">
        <v>41</v>
      </c>
      <c r="B20" s="52" t="s">
        <v>71</v>
      </c>
      <c r="C20" s="53" t="s">
        <v>80</v>
      </c>
      <c r="D20" s="30">
        <v>40660</v>
      </c>
      <c r="E20" s="31" t="s">
        <v>65</v>
      </c>
      <c r="F20" s="32">
        <v>3.7474007400684226E-2</v>
      </c>
      <c r="G20" s="33">
        <f t="shared" si="37"/>
        <v>5.3989349374274918</v>
      </c>
      <c r="H20" s="32">
        <v>1785.8635770139306</v>
      </c>
      <c r="I20" s="33">
        <f t="shared" si="38"/>
        <v>77.680016399040042</v>
      </c>
      <c r="J20" s="32">
        <v>31.568914036706602</v>
      </c>
      <c r="K20" s="33">
        <f t="shared" si="39"/>
        <v>1.7538285575948112</v>
      </c>
      <c r="L20" s="32">
        <v>69.552229642588571</v>
      </c>
      <c r="M20" s="33">
        <f t="shared" si="40"/>
        <v>1.7789203959943878</v>
      </c>
      <c r="N20" s="32">
        <v>169.62511709254915</v>
      </c>
      <c r="O20" s="33">
        <f t="shared" si="41"/>
        <v>6.9790214808701565</v>
      </c>
      <c r="P20" s="32">
        <v>106.43376762979004</v>
      </c>
      <c r="Q20" s="33">
        <f t="shared" si="42"/>
        <v>2.6556656427414049</v>
      </c>
      <c r="R20" s="32" t="s">
        <v>30</v>
      </c>
      <c r="S20" s="33"/>
      <c r="T20" s="32">
        <v>0.90851634681722859</v>
      </c>
      <c r="U20" s="33">
        <f t="shared" si="44"/>
        <v>47.821683693927177</v>
      </c>
      <c r="V20" s="32">
        <v>2.9711099458677577</v>
      </c>
      <c r="W20" s="33">
        <f>1000*V20/89.1</f>
        <v>33.345790638246442</v>
      </c>
      <c r="X20" s="32">
        <v>2.4652163745231679</v>
      </c>
      <c r="Y20" s="33">
        <f t="shared" si="45"/>
        <v>41.75219115444699</v>
      </c>
      <c r="Z20" s="34" t="s">
        <v>30</v>
      </c>
      <c r="AA20" s="35"/>
      <c r="AB20" s="34">
        <v>5.1376576643919201</v>
      </c>
      <c r="AC20" s="35">
        <f t="shared" ref="AC20:AC27" si="54">1000*AB20/45.03</f>
        <v>114.09410758143281</v>
      </c>
      <c r="AD20" s="34">
        <v>0.22807702583852091</v>
      </c>
      <c r="AE20" s="35">
        <f>1000*AD20/95.11</f>
        <v>2.3980341272055612</v>
      </c>
      <c r="AF20" s="34">
        <v>3184.1201314467112</v>
      </c>
      <c r="AG20" s="35">
        <f t="shared" si="46"/>
        <v>89.812431428841307</v>
      </c>
      <c r="AH20" s="34">
        <v>7.3022731567313102</v>
      </c>
      <c r="AI20" s="35">
        <f t="shared" si="47"/>
        <v>91.388080155327771</v>
      </c>
      <c r="AJ20" s="34">
        <v>16.084666363123503</v>
      </c>
      <c r="AK20" s="35">
        <f t="shared" si="48"/>
        <v>0.25938826581395746</v>
      </c>
      <c r="AL20" s="34" t="s">
        <v>30</v>
      </c>
      <c r="AM20" s="35"/>
      <c r="AN20" s="34" t="s">
        <v>30</v>
      </c>
      <c r="AO20" s="35"/>
      <c r="AP20" s="34">
        <v>323.77173491674023</v>
      </c>
      <c r="AQ20" s="35">
        <f t="shared" si="50"/>
        <v>3.3698491336997707</v>
      </c>
      <c r="AR20" s="34">
        <v>2.7199136426082808</v>
      </c>
      <c r="AS20" s="35">
        <f t="shared" si="53"/>
        <v>30.897576310442815</v>
      </c>
      <c r="AT20" s="24">
        <v>79064.299999999945</v>
      </c>
      <c r="AU20" s="36">
        <v>2802.7978146845112</v>
      </c>
      <c r="AV20" s="24">
        <v>1737.9280974946907</v>
      </c>
      <c r="AW20" s="36">
        <v>316.1635364601301</v>
      </c>
      <c r="AX20" s="25">
        <f t="shared" si="51"/>
        <v>2.1981198815327424E-2</v>
      </c>
      <c r="AY20" s="26">
        <v>0.2</v>
      </c>
      <c r="AZ20" s="37">
        <v>0.1</v>
      </c>
      <c r="BA20" s="26">
        <v>6.1</v>
      </c>
      <c r="BB20" s="4"/>
      <c r="BC20" s="69"/>
      <c r="BD20" s="84">
        <f t="shared" si="19"/>
        <v>13.293897627391127</v>
      </c>
    </row>
    <row r="21" spans="1:56" s="7" customFormat="1" ht="15" x14ac:dyDescent="0.25">
      <c r="A21" s="73" t="s">
        <v>42</v>
      </c>
      <c r="B21" s="52" t="s">
        <v>71</v>
      </c>
      <c r="C21" s="53" t="s">
        <v>80</v>
      </c>
      <c r="D21" s="30">
        <v>40662</v>
      </c>
      <c r="E21" s="31" t="s">
        <v>65</v>
      </c>
      <c r="F21" s="32">
        <v>5.3939859137348514E-2</v>
      </c>
      <c r="G21" s="33">
        <f t="shared" si="37"/>
        <v>7.7711942281153314</v>
      </c>
      <c r="H21" s="32">
        <v>2144.595268206388</v>
      </c>
      <c r="I21" s="33">
        <f t="shared" si="38"/>
        <v>93.283830717981218</v>
      </c>
      <c r="J21" s="32">
        <v>45.54726358760481</v>
      </c>
      <c r="K21" s="33">
        <f t="shared" si="39"/>
        <v>2.5304035326447116</v>
      </c>
      <c r="L21" s="32">
        <v>79.753326336124971</v>
      </c>
      <c r="M21" s="33">
        <f t="shared" si="40"/>
        <v>2.0398313554689493</v>
      </c>
      <c r="N21" s="32">
        <v>231.46398457045399</v>
      </c>
      <c r="O21" s="33">
        <f t="shared" si="41"/>
        <v>9.523307326494713</v>
      </c>
      <c r="P21" s="32">
        <v>151.3620013334307</v>
      </c>
      <c r="Q21" s="33">
        <f t="shared" si="42"/>
        <v>3.7766854966173633</v>
      </c>
      <c r="R21" s="32">
        <v>1.2082728055529253</v>
      </c>
      <c r="S21" s="33">
        <f>1000*R21/87.62</f>
        <v>13.789920172939116</v>
      </c>
      <c r="T21" s="32">
        <v>1.1502472490011628</v>
      </c>
      <c r="U21" s="33">
        <f t="shared" si="44"/>
        <v>60.545702126600837</v>
      </c>
      <c r="V21" s="34" t="s">
        <v>30</v>
      </c>
      <c r="W21" s="33"/>
      <c r="X21" s="32">
        <v>4.1407637057519793</v>
      </c>
      <c r="Y21" s="33">
        <f t="shared" si="45"/>
        <v>70.130135250863418</v>
      </c>
      <c r="Z21" s="34" t="s">
        <v>30</v>
      </c>
      <c r="AA21" s="35"/>
      <c r="AB21" s="34">
        <v>12.502491375051004</v>
      </c>
      <c r="AC21" s="35">
        <f t="shared" si="54"/>
        <v>277.64804297248509</v>
      </c>
      <c r="AD21" s="34">
        <v>10.560124705777818</v>
      </c>
      <c r="AE21" s="35">
        <f>1000*AD21/95.11</f>
        <v>111.03064562903815</v>
      </c>
      <c r="AF21" s="34">
        <v>3824.1974456581556</v>
      </c>
      <c r="AG21" s="35">
        <f t="shared" si="46"/>
        <v>107.86668111748386</v>
      </c>
      <c r="AH21" s="34">
        <v>8.5523985395282605</v>
      </c>
      <c r="AI21" s="35">
        <f t="shared" si="47"/>
        <v>107.03342185032363</v>
      </c>
      <c r="AJ21" s="34">
        <v>27.544930486606255</v>
      </c>
      <c r="AK21" s="35">
        <f t="shared" si="48"/>
        <v>0.44420142697316972</v>
      </c>
      <c r="AL21" s="34" t="s">
        <v>30</v>
      </c>
      <c r="AM21" s="35"/>
      <c r="AN21" s="34" t="s">
        <v>30</v>
      </c>
      <c r="AO21" s="35"/>
      <c r="AP21" s="34">
        <v>492.75839799757898</v>
      </c>
      <c r="AQ21" s="35">
        <f t="shared" si="50"/>
        <v>5.1286795033001908</v>
      </c>
      <c r="AR21" s="34">
        <v>3.2121399853338759</v>
      </c>
      <c r="AS21" s="35">
        <f t="shared" si="53"/>
        <v>36.489151259046643</v>
      </c>
      <c r="AT21" s="24">
        <v>88780.299999999988</v>
      </c>
      <c r="AU21" s="36">
        <v>5263.4267507014947</v>
      </c>
      <c r="AV21" s="24">
        <v>2233.9080361828178</v>
      </c>
      <c r="AW21" s="36">
        <v>417.78816873418788</v>
      </c>
      <c r="AX21" s="25">
        <f t="shared" si="51"/>
        <v>2.5162204184743891E-2</v>
      </c>
      <c r="AY21" s="26">
        <v>1.8</v>
      </c>
      <c r="AZ21" s="37">
        <v>0.3</v>
      </c>
      <c r="BA21" s="26">
        <v>6.2</v>
      </c>
      <c r="BB21" s="4"/>
      <c r="BC21" s="69"/>
      <c r="BD21" s="84">
        <f t="shared" si="19"/>
        <v>19.855395066136861</v>
      </c>
    </row>
    <row r="22" spans="1:56" s="7" customFormat="1" ht="15" x14ac:dyDescent="0.25">
      <c r="A22" s="73" t="s">
        <v>43</v>
      </c>
      <c r="B22" s="52" t="s">
        <v>71</v>
      </c>
      <c r="C22" s="53" t="s">
        <v>80</v>
      </c>
      <c r="D22" s="30">
        <v>40665</v>
      </c>
      <c r="E22" s="31" t="s">
        <v>65</v>
      </c>
      <c r="F22" s="32">
        <v>3.7474007400684226E-2</v>
      </c>
      <c r="G22" s="33">
        <f t="shared" si="37"/>
        <v>5.3989349374274918</v>
      </c>
      <c r="H22" s="32">
        <v>737.37354910895181</v>
      </c>
      <c r="I22" s="33">
        <f t="shared" si="38"/>
        <v>32.07366459804053</v>
      </c>
      <c r="J22" s="32">
        <v>104.69417827367334</v>
      </c>
      <c r="K22" s="33">
        <f t="shared" si="39"/>
        <v>5.8163432374262971</v>
      </c>
      <c r="L22" s="32">
        <v>31.553055955200914</v>
      </c>
      <c r="M22" s="33">
        <f t="shared" si="40"/>
        <v>0.80702480830735368</v>
      </c>
      <c r="N22" s="32">
        <v>27.545237601865175</v>
      </c>
      <c r="O22" s="33">
        <f t="shared" si="41"/>
        <v>1.1333156799779953</v>
      </c>
      <c r="P22" s="32">
        <v>82.181984868355599</v>
      </c>
      <c r="Q22" s="33">
        <f t="shared" si="42"/>
        <v>2.0505510471669144</v>
      </c>
      <c r="R22" s="32" t="s">
        <v>30</v>
      </c>
      <c r="S22" s="33"/>
      <c r="T22" s="32">
        <v>1.2217178485224498</v>
      </c>
      <c r="U22" s="33">
        <f t="shared" si="44"/>
        <v>64.307708628405607</v>
      </c>
      <c r="V22" s="34" t="s">
        <v>30</v>
      </c>
      <c r="W22" s="33"/>
      <c r="X22" s="32">
        <v>6.0356524393517965</v>
      </c>
      <c r="Y22" s="33">
        <f t="shared" si="45"/>
        <v>102.22295981559171</v>
      </c>
      <c r="Z22" s="34" t="s">
        <v>30</v>
      </c>
      <c r="AA22" s="35"/>
      <c r="AB22" s="34">
        <v>19.382562905140965</v>
      </c>
      <c r="AC22" s="35">
        <f t="shared" si="54"/>
        <v>430.43666233935073</v>
      </c>
      <c r="AD22" s="34" t="s">
        <v>30</v>
      </c>
      <c r="AE22" s="35"/>
      <c r="AF22" s="34">
        <v>1151.9465517093415</v>
      </c>
      <c r="AG22" s="35">
        <f t="shared" si="46"/>
        <v>32.492216503803384</v>
      </c>
      <c r="AH22" s="34">
        <v>2.2981967757549384</v>
      </c>
      <c r="AI22" s="35">
        <f t="shared" si="47"/>
        <v>28.761974065815707</v>
      </c>
      <c r="AJ22" s="34">
        <v>157.03666192141804</v>
      </c>
      <c r="AK22" s="35">
        <f t="shared" si="48"/>
        <v>2.532440927615192</v>
      </c>
      <c r="AL22" s="34" t="s">
        <v>30</v>
      </c>
      <c r="AM22" s="35"/>
      <c r="AN22" s="34" t="s">
        <v>30</v>
      </c>
      <c r="AO22" s="35"/>
      <c r="AP22" s="34">
        <v>111.10365444130694</v>
      </c>
      <c r="AQ22" s="35">
        <f t="shared" si="50"/>
        <v>1.1563781309267056</v>
      </c>
      <c r="AR22" s="34">
        <v>12.967111865359914</v>
      </c>
      <c r="AS22" s="35">
        <f t="shared" si="53"/>
        <v>147.30332688128951</v>
      </c>
      <c r="AT22" s="24">
        <v>95057.200000000026</v>
      </c>
      <c r="AU22" s="36">
        <v>3797.7948917760341</v>
      </c>
      <c r="AV22" s="24">
        <v>2883.0937987033972</v>
      </c>
      <c r="AW22" s="36">
        <v>1417.2102318698446</v>
      </c>
      <c r="AX22" s="25">
        <f t="shared" si="51"/>
        <v>3.0330093866676025E-2</v>
      </c>
      <c r="AY22" s="26">
        <v>2.1</v>
      </c>
      <c r="AZ22" s="37">
        <v>0</v>
      </c>
      <c r="BA22" s="26">
        <v>5.8</v>
      </c>
      <c r="BB22" s="4"/>
      <c r="BC22" s="69"/>
      <c r="BD22" s="84">
        <f t="shared" si="19"/>
        <v>38.385327209852676</v>
      </c>
    </row>
    <row r="23" spans="1:56" s="7" customFormat="1" ht="15" x14ac:dyDescent="0.25">
      <c r="A23" s="73" t="s">
        <v>44</v>
      </c>
      <c r="B23" s="52" t="s">
        <v>71</v>
      </c>
      <c r="C23" s="53" t="s">
        <v>80</v>
      </c>
      <c r="D23" s="30">
        <v>40667</v>
      </c>
      <c r="E23" s="31" t="s">
        <v>65</v>
      </c>
      <c r="F23" s="32">
        <v>4.5423039273556648E-2</v>
      </c>
      <c r="G23" s="33">
        <f t="shared" si="37"/>
        <v>6.5441635605181743</v>
      </c>
      <c r="H23" s="32">
        <v>1088.0946885632018</v>
      </c>
      <c r="I23" s="33">
        <f t="shared" si="38"/>
        <v>47.329042564732575</v>
      </c>
      <c r="J23" s="32">
        <v>46.611747120538936</v>
      </c>
      <c r="K23" s="33">
        <f t="shared" si="39"/>
        <v>2.5895415066966074</v>
      </c>
      <c r="L23" s="32">
        <v>42.811278065391754</v>
      </c>
      <c r="M23" s="33">
        <f t="shared" si="40"/>
        <v>1.0949736064604776</v>
      </c>
      <c r="N23" s="32">
        <v>96.166426994997806</v>
      </c>
      <c r="O23" s="33">
        <f t="shared" si="41"/>
        <v>3.9566520055543224</v>
      </c>
      <c r="P23" s="32">
        <v>105.77441201099913</v>
      </c>
      <c r="Q23" s="33">
        <f t="shared" si="42"/>
        <v>2.639213833300043</v>
      </c>
      <c r="R23" s="32" t="s">
        <v>30</v>
      </c>
      <c r="S23" s="33"/>
      <c r="T23" s="32">
        <v>0.5289303334407689</v>
      </c>
      <c r="U23" s="33">
        <f t="shared" si="44"/>
        <v>27.841369272595475</v>
      </c>
      <c r="V23" s="34" t="s">
        <v>30</v>
      </c>
      <c r="W23" s="33"/>
      <c r="X23" s="32">
        <v>4.555071669191542</v>
      </c>
      <c r="Y23" s="33">
        <f t="shared" si="45"/>
        <v>77.147071153572625</v>
      </c>
      <c r="Z23" s="34" t="s">
        <v>30</v>
      </c>
      <c r="AA23" s="35"/>
      <c r="AB23" s="34">
        <v>4.9927783869153757</v>
      </c>
      <c r="AC23" s="35">
        <f t="shared" si="54"/>
        <v>110.87671301166723</v>
      </c>
      <c r="AD23" s="34" t="s">
        <v>30</v>
      </c>
      <c r="AE23" s="35"/>
      <c r="AF23" s="34">
        <v>2232.9163611083686</v>
      </c>
      <c r="AG23" s="35">
        <f t="shared" si="46"/>
        <v>62.982437624696594</v>
      </c>
      <c r="AH23" s="34">
        <v>4.9161744560468081</v>
      </c>
      <c r="AI23" s="35">
        <f t="shared" si="47"/>
        <v>61.526011914882957</v>
      </c>
      <c r="AJ23" s="34">
        <v>24.768024281503422</v>
      </c>
      <c r="AK23" s="35">
        <f t="shared" si="48"/>
        <v>0.39941984005004716</v>
      </c>
      <c r="AL23" s="34" t="s">
        <v>30</v>
      </c>
      <c r="AM23" s="35"/>
      <c r="AN23" s="34" t="s">
        <v>30</v>
      </c>
      <c r="AO23" s="35"/>
      <c r="AP23" s="34">
        <v>176.3392284230265</v>
      </c>
      <c r="AQ23" s="35">
        <f t="shared" si="50"/>
        <v>1.8353566171902966</v>
      </c>
      <c r="AR23" s="34">
        <v>6.158458876733393</v>
      </c>
      <c r="AS23" s="35">
        <f t="shared" si="53"/>
        <v>69.958637700027182</v>
      </c>
      <c r="AT23" s="24">
        <v>68922.000000000058</v>
      </c>
      <c r="AU23" s="36">
        <v>2099.0957553194207</v>
      </c>
      <c r="AV23" s="24">
        <v>1574.8305551112906</v>
      </c>
      <c r="AW23" s="36">
        <v>407.87092631979465</v>
      </c>
      <c r="AX23" s="25">
        <f t="shared" si="51"/>
        <v>2.284946105904195E-2</v>
      </c>
      <c r="AY23" s="26">
        <v>10.9</v>
      </c>
      <c r="AZ23" s="37">
        <v>1.4</v>
      </c>
      <c r="BA23" s="26">
        <v>5.8</v>
      </c>
      <c r="BB23" s="4"/>
      <c r="BC23" s="69"/>
      <c r="BD23" s="84">
        <f t="shared" si="19"/>
        <v>15.70630893284031</v>
      </c>
    </row>
    <row r="24" spans="1:56" s="7" customFormat="1" ht="15" x14ac:dyDescent="0.25">
      <c r="A24" s="73" t="s">
        <v>45</v>
      </c>
      <c r="B24" s="52" t="s">
        <v>71</v>
      </c>
      <c r="C24" s="53" t="s">
        <v>80</v>
      </c>
      <c r="D24" s="30">
        <v>40668</v>
      </c>
      <c r="E24" s="31" t="s">
        <v>65</v>
      </c>
      <c r="F24" s="32">
        <v>3.5770643427925852E-2</v>
      </c>
      <c r="G24" s="33">
        <f t="shared" si="37"/>
        <v>5.1535288039080616</v>
      </c>
      <c r="H24" s="32">
        <v>1047.4864895991932</v>
      </c>
      <c r="I24" s="33">
        <f t="shared" si="38"/>
        <v>45.562700722017979</v>
      </c>
      <c r="J24" s="32">
        <v>48.507274815149721</v>
      </c>
      <c r="K24" s="33">
        <f t="shared" si="39"/>
        <v>2.694848600841651</v>
      </c>
      <c r="L24" s="32">
        <v>35.903659155618875</v>
      </c>
      <c r="M24" s="33">
        <f t="shared" si="40"/>
        <v>0.91829912413982495</v>
      </c>
      <c r="N24" s="32">
        <v>71.448306769213886</v>
      </c>
      <c r="O24" s="33">
        <f t="shared" si="41"/>
        <v>2.9396546706115569</v>
      </c>
      <c r="P24" s="32">
        <v>115.33272620306853</v>
      </c>
      <c r="Q24" s="33">
        <f t="shared" si="42"/>
        <v>2.8777066271537635</v>
      </c>
      <c r="R24" s="32" t="s">
        <v>30</v>
      </c>
      <c r="S24" s="33"/>
      <c r="T24" s="32">
        <v>1.2529037367436024</v>
      </c>
      <c r="U24" s="33">
        <f t="shared" si="44"/>
        <v>65.949243959553755</v>
      </c>
      <c r="V24" s="32">
        <v>4.2821286795042726</v>
      </c>
      <c r="W24" s="33">
        <f>1000*V24/89.1</f>
        <v>48.059805606108561</v>
      </c>
      <c r="X24" s="32">
        <v>8.1454417753938841</v>
      </c>
      <c r="Y24" s="33">
        <f t="shared" si="45"/>
        <v>137.95545314331488</v>
      </c>
      <c r="Z24" s="34" t="s">
        <v>30</v>
      </c>
      <c r="AA24" s="35"/>
      <c r="AB24" s="34">
        <v>26.338795679817647</v>
      </c>
      <c r="AC24" s="35">
        <f t="shared" si="54"/>
        <v>584.91662624511764</v>
      </c>
      <c r="AD24" s="34">
        <v>19.966793450600285</v>
      </c>
      <c r="AE24" s="35">
        <f>1000*AD24/95.11</f>
        <v>209.93369204710635</v>
      </c>
      <c r="AF24" s="34">
        <v>1692.0989894147499</v>
      </c>
      <c r="AG24" s="35">
        <f t="shared" si="46"/>
        <v>47.727949381286486</v>
      </c>
      <c r="AH24" s="34">
        <v>3.4674245136168533</v>
      </c>
      <c r="AI24" s="35">
        <f t="shared" si="47"/>
        <v>43.394880276542523</v>
      </c>
      <c r="AJ24" s="34">
        <v>30.224029523596045</v>
      </c>
      <c r="AK24" s="35">
        <f t="shared" si="48"/>
        <v>0.48740573332681897</v>
      </c>
      <c r="AL24" s="34" t="s">
        <v>30</v>
      </c>
      <c r="AM24" s="35"/>
      <c r="AN24" s="34" t="s">
        <v>30</v>
      </c>
      <c r="AO24" s="35"/>
      <c r="AP24" s="34">
        <v>174.98680710298993</v>
      </c>
      <c r="AQ24" s="35">
        <f t="shared" si="50"/>
        <v>1.8212804785956342</v>
      </c>
      <c r="AR24" s="34">
        <v>8.0931230161043253</v>
      </c>
      <c r="AS24" s="35">
        <f t="shared" si="53"/>
        <v>91.935965194869084</v>
      </c>
      <c r="AT24" s="24">
        <v>98716.10000000002</v>
      </c>
      <c r="AU24" s="36">
        <v>2551.5910271828311</v>
      </c>
      <c r="AV24" s="24">
        <v>2404.4635093830402</v>
      </c>
      <c r="AW24" s="36">
        <v>986.36485054522495</v>
      </c>
      <c r="AX24" s="25">
        <f t="shared" si="51"/>
        <v>2.4357359228971157E-2</v>
      </c>
      <c r="AY24" s="26">
        <v>10.199999999999999</v>
      </c>
      <c r="AZ24" s="37">
        <v>0.8</v>
      </c>
      <c r="BA24" s="26">
        <v>6.2</v>
      </c>
      <c r="BB24" s="4"/>
      <c r="BC24" s="69"/>
      <c r="BD24" s="84">
        <f t="shared" si="19"/>
        <v>46.859489150820124</v>
      </c>
    </row>
    <row r="25" spans="1:56" s="7" customFormat="1" ht="15" x14ac:dyDescent="0.25">
      <c r="A25" s="73" t="s">
        <v>46</v>
      </c>
      <c r="B25" s="52" t="s">
        <v>71</v>
      </c>
      <c r="C25" s="52" t="s">
        <v>71</v>
      </c>
      <c r="D25" s="30">
        <v>40670</v>
      </c>
      <c r="E25" s="31" t="s">
        <v>65</v>
      </c>
      <c r="F25" s="32">
        <v>4.5423039273556648E-2</v>
      </c>
      <c r="G25" s="33">
        <f t="shared" si="37"/>
        <v>6.5441635605181743</v>
      </c>
      <c r="H25" s="32">
        <v>1390.492524268944</v>
      </c>
      <c r="I25" s="33">
        <f t="shared" si="38"/>
        <v>60.482493443625231</v>
      </c>
      <c r="J25" s="32">
        <v>49.862837576703015</v>
      </c>
      <c r="K25" s="33">
        <f t="shared" si="39"/>
        <v>2.7701576431501675</v>
      </c>
      <c r="L25" s="32">
        <v>50.339646934281987</v>
      </c>
      <c r="M25" s="33">
        <f t="shared" si="40"/>
        <v>1.287524858925827</v>
      </c>
      <c r="N25" s="32">
        <v>107.05598827878575</v>
      </c>
      <c r="O25" s="33">
        <f t="shared" si="41"/>
        <v>4.404689910668</v>
      </c>
      <c r="P25" s="32">
        <v>155.01433879824043</v>
      </c>
      <c r="Q25" s="33">
        <f t="shared" si="42"/>
        <v>3.8678162283108044</v>
      </c>
      <c r="R25" s="32" t="s">
        <v>30</v>
      </c>
      <c r="S25" s="33"/>
      <c r="T25" s="32">
        <v>1.6088874170836311</v>
      </c>
      <c r="U25" s="33">
        <f t="shared" si="44"/>
        <v>84.68719955172287</v>
      </c>
      <c r="V25" s="32">
        <v>3.8391411975674115</v>
      </c>
      <c r="W25" s="33">
        <f>1000*V25/89.1</f>
        <v>43.088004462036047</v>
      </c>
      <c r="X25" s="32">
        <v>7.9730899170500695</v>
      </c>
      <c r="Y25" s="33">
        <f t="shared" si="45"/>
        <v>135.03641211723578</v>
      </c>
      <c r="Z25" s="34" t="s">
        <v>30</v>
      </c>
      <c r="AA25" s="35"/>
      <c r="AB25" s="34">
        <v>24.074887430129127</v>
      </c>
      <c r="AC25" s="35">
        <f t="shared" si="54"/>
        <v>534.64107106660288</v>
      </c>
      <c r="AD25" s="34">
        <v>23.394509568547974</v>
      </c>
      <c r="AE25" s="35">
        <f>1000*AD25/95.11</f>
        <v>245.97318440277547</v>
      </c>
      <c r="AF25" s="34">
        <v>2302.4907024682698</v>
      </c>
      <c r="AG25" s="35">
        <f t="shared" si="46"/>
        <v>64.944876384742329</v>
      </c>
      <c r="AH25" s="34">
        <v>4.0519211613575816</v>
      </c>
      <c r="AI25" s="35">
        <f t="shared" si="47"/>
        <v>50.709866356597693</v>
      </c>
      <c r="AJ25" s="34">
        <v>38.724987066238683</v>
      </c>
      <c r="AK25" s="35">
        <f t="shared" si="48"/>
        <v>0.62449584044893858</v>
      </c>
      <c r="AL25" s="34" t="s">
        <v>30</v>
      </c>
      <c r="AM25" s="35"/>
      <c r="AN25" s="34" t="s">
        <v>30</v>
      </c>
      <c r="AO25" s="35"/>
      <c r="AP25" s="34">
        <v>262.82637171546997</v>
      </c>
      <c r="AQ25" s="35">
        <f t="shared" si="50"/>
        <v>2.7355235974091112</v>
      </c>
      <c r="AR25" s="34">
        <v>6.4444967743185018</v>
      </c>
      <c r="AS25" s="35">
        <f t="shared" si="53"/>
        <v>73.207960630677064</v>
      </c>
      <c r="AT25" s="24">
        <v>148305.50000000006</v>
      </c>
      <c r="AU25" s="36">
        <v>5463.7275737358714</v>
      </c>
      <c r="AV25" s="24">
        <v>3708.6621904838321</v>
      </c>
      <c r="AW25" s="36">
        <v>1143.8932673798147</v>
      </c>
      <c r="AX25" s="25">
        <f t="shared" si="51"/>
        <v>2.5006909322202012E-2</v>
      </c>
      <c r="AY25" s="26">
        <v>1.1000000000000001</v>
      </c>
      <c r="AZ25" s="37">
        <v>0</v>
      </c>
      <c r="BA25" s="26">
        <v>6.4</v>
      </c>
      <c r="BB25" s="4"/>
      <c r="BC25" s="69"/>
      <c r="BD25" s="84">
        <f t="shared" si="19"/>
        <v>42.331615319065108</v>
      </c>
    </row>
    <row r="26" spans="1:56" s="7" customFormat="1" x14ac:dyDescent="0.3">
      <c r="A26" s="73" t="s">
        <v>47</v>
      </c>
      <c r="B26" s="52" t="s">
        <v>71</v>
      </c>
      <c r="C26" s="52" t="s">
        <v>71</v>
      </c>
      <c r="D26" s="30">
        <v>40671</v>
      </c>
      <c r="E26" s="31" t="s">
        <v>65</v>
      </c>
      <c r="F26" s="32">
        <v>3.804179539160369E-2</v>
      </c>
      <c r="G26" s="33">
        <f t="shared" si="37"/>
        <v>5.4807369819339709</v>
      </c>
      <c r="H26" s="32">
        <v>1818.3804687390511</v>
      </c>
      <c r="I26" s="33">
        <f t="shared" si="38"/>
        <v>79.094409253547255</v>
      </c>
      <c r="J26" s="32">
        <v>81.543028836386043</v>
      </c>
      <c r="K26" s="33">
        <f t="shared" si="39"/>
        <v>4.5301682686881133</v>
      </c>
      <c r="L26" s="32">
        <v>71.393169210948415</v>
      </c>
      <c r="M26" s="33">
        <f t="shared" si="40"/>
        <v>1.8260056578584178</v>
      </c>
      <c r="N26" s="32">
        <v>222.67716220013378</v>
      </c>
      <c r="O26" s="33">
        <f t="shared" si="41"/>
        <v>9.1617840855846033</v>
      </c>
      <c r="P26" s="32">
        <v>149.73502384425095</v>
      </c>
      <c r="Q26" s="33">
        <f t="shared" si="42"/>
        <v>3.7360902201769282</v>
      </c>
      <c r="R26" s="32">
        <v>0.7250491455182374</v>
      </c>
      <c r="S26" s="33">
        <f>1000*R26/87.62</f>
        <v>8.2749274768116567</v>
      </c>
      <c r="T26" s="32">
        <v>0.7304372894443707</v>
      </c>
      <c r="U26" s="33">
        <f t="shared" si="44"/>
        <v>38.448115035496926</v>
      </c>
      <c r="V26" s="32">
        <v>6.9271348376996924</v>
      </c>
      <c r="W26" s="33">
        <f>1000*V26/89.1</f>
        <v>77.745621074070627</v>
      </c>
      <c r="X26" s="32">
        <v>27.005012551932481</v>
      </c>
      <c r="Y26" s="33">
        <f t="shared" si="45"/>
        <v>457.37098692386155</v>
      </c>
      <c r="Z26" s="34">
        <v>13.949348708369442</v>
      </c>
      <c r="AA26" s="35">
        <f>1000*Z26/73.08</f>
        <v>190.87778747084622</v>
      </c>
      <c r="AB26" s="34">
        <v>41.285662208760485</v>
      </c>
      <c r="AC26" s="35">
        <f t="shared" si="54"/>
        <v>916.84792824251576</v>
      </c>
      <c r="AD26" s="34">
        <v>50.357595388643333</v>
      </c>
      <c r="AE26" s="35">
        <f>1000*AD26/95.11</f>
        <v>529.46688454046193</v>
      </c>
      <c r="AF26" s="34">
        <v>3282.3084663726054</v>
      </c>
      <c r="AG26" s="35">
        <f t="shared" si="46"/>
        <v>92.581966727007725</v>
      </c>
      <c r="AH26" s="34">
        <v>4.5375702221209995</v>
      </c>
      <c r="AI26" s="35">
        <f t="shared" si="47"/>
        <v>56.78777310423758</v>
      </c>
      <c r="AJ26" s="34">
        <v>198.32916697964743</v>
      </c>
      <c r="AK26" s="35">
        <f t="shared" si="48"/>
        <v>3.19834167037006</v>
      </c>
      <c r="AL26" s="34" t="s">
        <v>30</v>
      </c>
      <c r="AM26" s="35"/>
      <c r="AN26" s="34">
        <v>4.9751130035352933</v>
      </c>
      <c r="AO26" s="35">
        <f t="shared" si="49"/>
        <v>42.85565512563781</v>
      </c>
      <c r="AP26" s="34">
        <v>752.9622286906847</v>
      </c>
      <c r="AQ26" s="35">
        <f t="shared" si="50"/>
        <v>7.8369074271243946</v>
      </c>
      <c r="AR26" s="34">
        <v>18.970057055720151</v>
      </c>
      <c r="AS26" s="35">
        <f t="shared" si="53"/>
        <v>215.49536584937124</v>
      </c>
      <c r="AT26" s="24">
        <v>16073.333333333334</v>
      </c>
      <c r="AU26" s="36">
        <v>487.3000444626835</v>
      </c>
      <c r="AV26" s="24">
        <v>468.99306900537931</v>
      </c>
      <c r="AW26" s="36">
        <v>88.566718569611467</v>
      </c>
      <c r="AX26" s="25">
        <f t="shared" si="51"/>
        <v>2.917833278755989E-2</v>
      </c>
      <c r="AY26" s="26">
        <v>9.5</v>
      </c>
      <c r="AZ26" s="37">
        <v>0.9</v>
      </c>
      <c r="BA26" s="26">
        <v>5.2</v>
      </c>
      <c r="BB26" s="4"/>
      <c r="BC26" s="69"/>
      <c r="BD26" s="84">
        <f t="shared" si="19"/>
        <v>113.11232836601755</v>
      </c>
    </row>
    <row r="27" spans="1:56" s="7" customFormat="1" x14ac:dyDescent="0.3">
      <c r="A27" s="73" t="s">
        <v>48</v>
      </c>
      <c r="B27" s="52" t="s">
        <v>71</v>
      </c>
      <c r="C27" s="52" t="s">
        <v>71</v>
      </c>
      <c r="D27" s="30">
        <v>40673</v>
      </c>
      <c r="E27" s="31" t="s">
        <v>65</v>
      </c>
      <c r="F27" s="32">
        <v>0.13002344992055589</v>
      </c>
      <c r="G27" s="33">
        <f t="shared" si="37"/>
        <v>18.732668191983272</v>
      </c>
      <c r="H27" s="32">
        <v>6548.9333073300986</v>
      </c>
      <c r="I27" s="33">
        <f t="shared" si="38"/>
        <v>284.86008296346671</v>
      </c>
      <c r="J27" s="32">
        <v>80.032265259245349</v>
      </c>
      <c r="K27" s="33">
        <f t="shared" si="39"/>
        <v>4.4462369588469635</v>
      </c>
      <c r="L27" s="32">
        <v>248.9725188360616</v>
      </c>
      <c r="M27" s="33">
        <f t="shared" si="40"/>
        <v>6.3679093262075197</v>
      </c>
      <c r="N27" s="32">
        <v>1240.8210029657885</v>
      </c>
      <c r="O27" s="33">
        <f t="shared" si="41"/>
        <v>51.052088169750604</v>
      </c>
      <c r="P27" s="32">
        <v>2691.0931738388581</v>
      </c>
      <c r="Q27" s="33">
        <f t="shared" si="42"/>
        <v>67.146393877909517</v>
      </c>
      <c r="R27" s="32">
        <v>3.552585575063592</v>
      </c>
      <c r="S27" s="33">
        <f>1000*R27/87.62</f>
        <v>40.545372917867972</v>
      </c>
      <c r="T27" s="32">
        <v>2.5516238760696215</v>
      </c>
      <c r="U27" s="33">
        <f t="shared" si="44"/>
        <v>134.31013138591544</v>
      </c>
      <c r="V27" s="34" t="s">
        <v>30</v>
      </c>
      <c r="W27" s="33"/>
      <c r="X27" s="32">
        <v>22.011117395437971</v>
      </c>
      <c r="Y27" s="33">
        <f t="shared" si="45"/>
        <v>372.79177216038835</v>
      </c>
      <c r="Z27" s="34" t="s">
        <v>30</v>
      </c>
      <c r="AA27" s="35"/>
      <c r="AB27" s="34">
        <v>77.411310864082623</v>
      </c>
      <c r="AC27" s="35">
        <f t="shared" si="54"/>
        <v>1719.1052823469381</v>
      </c>
      <c r="AD27" s="34">
        <v>80.445194788450095</v>
      </c>
      <c r="AE27" s="35">
        <f>1000*AD27/95.11</f>
        <v>845.81216263747342</v>
      </c>
      <c r="AF27" s="34">
        <v>11003.405012513613</v>
      </c>
      <c r="AG27" s="35">
        <f t="shared" si="46"/>
        <v>310.36597784428994</v>
      </c>
      <c r="AH27" s="34">
        <v>31.427517192200746</v>
      </c>
      <c r="AI27" s="35">
        <f t="shared" si="47"/>
        <v>393.31594403535178</v>
      </c>
      <c r="AJ27" s="34">
        <v>156.15660060546173</v>
      </c>
      <c r="AK27" s="35">
        <f t="shared" si="48"/>
        <v>2.5182486793333614</v>
      </c>
      <c r="AL27" s="34" t="s">
        <v>30</v>
      </c>
      <c r="AM27" s="35"/>
      <c r="AN27" s="34">
        <v>3.1262699695142997</v>
      </c>
      <c r="AO27" s="35">
        <f t="shared" si="49"/>
        <v>26.929709445381167</v>
      </c>
      <c r="AP27" s="34">
        <v>2206.3994480228962</v>
      </c>
      <c r="AQ27" s="35">
        <f t="shared" si="50"/>
        <v>22.964429771572313</v>
      </c>
      <c r="AR27" s="34">
        <v>21.500237680527608</v>
      </c>
      <c r="AS27" s="35">
        <f t="shared" si="53"/>
        <v>244.23761990829954</v>
      </c>
      <c r="AT27" s="24">
        <v>225051.40000000002</v>
      </c>
      <c r="AU27" s="36">
        <v>21697.886608377336</v>
      </c>
      <c r="AV27" s="24">
        <v>9432.8098781004319</v>
      </c>
      <c r="AW27" s="36">
        <v>2644.2828281131574</v>
      </c>
      <c r="AX27" s="25">
        <f t="shared" si="51"/>
        <v>4.1914024432198292E-2</v>
      </c>
      <c r="AY27" s="26">
        <v>108.1</v>
      </c>
      <c r="AZ27" s="37">
        <v>0.3</v>
      </c>
      <c r="BA27" s="26">
        <v>8</v>
      </c>
      <c r="BB27" s="4"/>
      <c r="BC27" s="69"/>
      <c r="BD27" s="84">
        <f t="shared" si="19"/>
        <v>124.04893590956249</v>
      </c>
    </row>
    <row r="28" spans="1:56" s="7" customFormat="1" x14ac:dyDescent="0.3">
      <c r="A28" s="73" t="s">
        <v>49</v>
      </c>
      <c r="B28" s="52" t="s">
        <v>71</v>
      </c>
      <c r="C28" s="52" t="s">
        <v>71</v>
      </c>
      <c r="D28" s="30">
        <v>40675</v>
      </c>
      <c r="E28" s="31" t="s">
        <v>65</v>
      </c>
      <c r="F28" s="32">
        <v>0.13172681389331425</v>
      </c>
      <c r="G28" s="33">
        <f t="shared" ref="G28:G40" si="55" xml:space="preserve"> 1000*F28/6.941</f>
        <v>18.9780743255027</v>
      </c>
      <c r="H28" s="32">
        <v>6725.0689328991175</v>
      </c>
      <c r="I28" s="33">
        <f t="shared" ref="I28:I40" si="56">H28/22.99</f>
        <v>292.52148468460712</v>
      </c>
      <c r="J28" s="32">
        <v>87.500646859896776</v>
      </c>
      <c r="K28" s="33">
        <f t="shared" ref="K28:K40" si="57">J28/18</f>
        <v>4.8611470477720431</v>
      </c>
      <c r="L28" s="32">
        <v>262.42118276844445</v>
      </c>
      <c r="M28" s="33">
        <f t="shared" ref="M28:M40" si="58">L28/39.098</f>
        <v>6.7118825200379675</v>
      </c>
      <c r="N28" s="32">
        <v>1101.7049297108308</v>
      </c>
      <c r="O28" s="33">
        <f t="shared" ref="O28:O40" si="59">N28/24.305</f>
        <v>45.328324612665327</v>
      </c>
      <c r="P28" s="32">
        <v>2242.7918125289034</v>
      </c>
      <c r="Q28" s="33">
        <f t="shared" ref="Q28:Q40" si="60">P28/40.078</f>
        <v>55.960672002817084</v>
      </c>
      <c r="R28" s="32">
        <v>4.7868259107212854</v>
      </c>
      <c r="S28" s="33">
        <f t="shared" ref="S28:S38" si="61">1000*R28/87.62</f>
        <v>54.631658419553581</v>
      </c>
      <c r="T28" s="32">
        <v>2.2997777258672043</v>
      </c>
      <c r="U28" s="33">
        <f t="shared" ref="U28:U40" si="62">1000*T28/18.998</f>
        <v>121.05367543252997</v>
      </c>
      <c r="V28" s="34" t="s">
        <v>30</v>
      </c>
      <c r="W28" s="33"/>
      <c r="X28" s="32">
        <v>35.152227543493886</v>
      </c>
      <c r="Y28" s="33">
        <f t="shared" ref="Y28:Y40" si="63">1000*X28/59.044</f>
        <v>595.35647218165923</v>
      </c>
      <c r="Z28" s="34" t="s">
        <v>30</v>
      </c>
      <c r="AA28" s="35"/>
      <c r="AB28" s="34">
        <v>128.82727851078653</v>
      </c>
      <c r="AC28" s="35">
        <f t="shared" ref="AC28:AC40" si="64">1000*AB28/45.03</f>
        <v>2860.9211305970803</v>
      </c>
      <c r="AD28" s="34">
        <v>98.403479018852977</v>
      </c>
      <c r="AE28" s="35">
        <f t="shared" ref="AE28:AE39" si="65">1000*AD28/95.11</f>
        <v>1034.6281044985067</v>
      </c>
      <c r="AF28" s="34">
        <v>11283.271437750103</v>
      </c>
      <c r="AG28" s="35">
        <f t="shared" ref="AG28:AG40" si="66">AF28/35.453</f>
        <v>318.25999034637698</v>
      </c>
      <c r="AH28" s="34">
        <v>36.275936622322277</v>
      </c>
      <c r="AI28" s="35">
        <f t="shared" ref="AI28:AI40" si="67">1000*AH28/79.904</f>
        <v>453.99400057972412</v>
      </c>
      <c r="AJ28" s="34">
        <v>172.20133031830017</v>
      </c>
      <c r="AK28" s="35">
        <f t="shared" ref="AK28:AK40" si="68">AJ28/62.01</f>
        <v>2.7769929095033086</v>
      </c>
      <c r="AL28" s="34" t="s">
        <v>30</v>
      </c>
      <c r="AM28" s="35"/>
      <c r="AN28" s="34">
        <v>4.6028701901674571</v>
      </c>
      <c r="AO28" s="35">
        <f t="shared" ref="AO28:AO37" si="69">1000*AN28/116.09</f>
        <v>39.649153158475805</v>
      </c>
      <c r="AP28" s="34">
        <v>2193.4066723560309</v>
      </c>
      <c r="AQ28" s="35">
        <f t="shared" ref="AQ28:AQ40" si="70">AP28/96.079</f>
        <v>22.829199641503671</v>
      </c>
      <c r="AR28" s="34">
        <v>27.74496253713961</v>
      </c>
      <c r="AS28" s="35">
        <f t="shared" ref="AS28:AS40" si="71">1000*AR28/88.03</f>
        <v>315.17621875655584</v>
      </c>
      <c r="AT28" s="24">
        <v>372110.89999999973</v>
      </c>
      <c r="AU28" s="36">
        <v>5816.7347773472848</v>
      </c>
      <c r="AV28" s="24">
        <v>20898.057970198341</v>
      </c>
      <c r="AW28" s="36">
        <v>3313.8310463047601</v>
      </c>
      <c r="AX28" s="25">
        <f t="shared" ref="AX28:AX40" si="72">AV28/AT28</f>
        <v>5.6160832617905991E-2</v>
      </c>
      <c r="AY28" s="26">
        <v>12.1</v>
      </c>
      <c r="AZ28" s="37">
        <v>1.8</v>
      </c>
      <c r="BA28" s="26">
        <v>8.1999999999999993</v>
      </c>
      <c r="BB28" s="4"/>
      <c r="BC28" s="69"/>
      <c r="BD28" s="84">
        <f t="shared" si="19"/>
        <v>196.32733878158749</v>
      </c>
    </row>
    <row r="29" spans="1:56" s="15" customFormat="1" x14ac:dyDescent="0.3">
      <c r="A29" s="73" t="s">
        <v>50</v>
      </c>
      <c r="B29" s="52" t="s">
        <v>71</v>
      </c>
      <c r="C29" s="54" t="s">
        <v>80</v>
      </c>
      <c r="D29" s="30">
        <v>40676</v>
      </c>
      <c r="E29" s="31" t="s">
        <v>65</v>
      </c>
      <c r="F29" s="32">
        <v>4.9397555209992852E-2</v>
      </c>
      <c r="G29" s="33">
        <f t="shared" si="55"/>
        <v>7.1167778720635146</v>
      </c>
      <c r="H29" s="32">
        <v>1335.8939272236746</v>
      </c>
      <c r="I29" s="33">
        <f t="shared" si="56"/>
        <v>58.107608839655271</v>
      </c>
      <c r="J29" s="32">
        <v>59.504634916606548</v>
      </c>
      <c r="K29" s="33">
        <f t="shared" si="57"/>
        <v>3.3058130509225858</v>
      </c>
      <c r="L29" s="32">
        <v>49.716065603029669</v>
      </c>
      <c r="M29" s="33">
        <f t="shared" si="58"/>
        <v>1.2715756714673301</v>
      </c>
      <c r="N29" s="32">
        <v>126.72377793273678</v>
      </c>
      <c r="O29" s="33">
        <f t="shared" si="59"/>
        <v>5.2138974668889855</v>
      </c>
      <c r="P29" s="32">
        <v>266.41144741514984</v>
      </c>
      <c r="Q29" s="33">
        <f t="shared" si="60"/>
        <v>6.6473239037664014</v>
      </c>
      <c r="R29" s="32" t="s">
        <v>30</v>
      </c>
      <c r="S29" s="33"/>
      <c r="T29" s="32">
        <v>0.79153296871413037</v>
      </c>
      <c r="U29" s="33">
        <f t="shared" si="62"/>
        <v>41.664015618177189</v>
      </c>
      <c r="V29" s="34" t="s">
        <v>30</v>
      </c>
      <c r="W29" s="33"/>
      <c r="X29" s="32">
        <v>5.2301318651681621</v>
      </c>
      <c r="Y29" s="33">
        <f t="shared" si="63"/>
        <v>88.580242957254967</v>
      </c>
      <c r="Z29" s="34" t="s">
        <v>30</v>
      </c>
      <c r="AA29" s="35"/>
      <c r="AB29" s="34">
        <v>24.953732536127127</v>
      </c>
      <c r="AC29" s="35">
        <f t="shared" si="64"/>
        <v>554.15795105767552</v>
      </c>
      <c r="AD29" s="34">
        <v>14.992188191306731</v>
      </c>
      <c r="AE29" s="35">
        <f t="shared" si="65"/>
        <v>157.62998834304207</v>
      </c>
      <c r="AF29" s="34">
        <v>2290.8505117476511</v>
      </c>
      <c r="AG29" s="35">
        <f t="shared" si="66"/>
        <v>64.61654900142868</v>
      </c>
      <c r="AH29" s="34">
        <v>6.0435625532100836</v>
      </c>
      <c r="AI29" s="35">
        <f t="shared" si="67"/>
        <v>75.635294268247947</v>
      </c>
      <c r="AJ29" s="34">
        <v>52.642390503699524</v>
      </c>
      <c r="AK29" s="35">
        <f t="shared" si="68"/>
        <v>0.84893388975487061</v>
      </c>
      <c r="AL29" s="34" t="s">
        <v>30</v>
      </c>
      <c r="AM29" s="35"/>
      <c r="AN29" s="34" t="s">
        <v>30</v>
      </c>
      <c r="AO29" s="35"/>
      <c r="AP29" s="34">
        <v>260.09340106107538</v>
      </c>
      <c r="AQ29" s="35">
        <f t="shared" si="70"/>
        <v>2.7070785609870565</v>
      </c>
      <c r="AR29" s="34">
        <v>4.8452330549782694</v>
      </c>
      <c r="AS29" s="35">
        <f t="shared" si="71"/>
        <v>55.04070265793785</v>
      </c>
      <c r="AT29" s="24">
        <v>113383.89999999997</v>
      </c>
      <c r="AU29" s="36">
        <v>4605.6568489195988</v>
      </c>
      <c r="AV29" s="24">
        <v>5008.4545681106965</v>
      </c>
      <c r="AW29" s="36">
        <v>276.1836360815289</v>
      </c>
      <c r="AX29" s="25">
        <f t="shared" si="72"/>
        <v>4.4172537442359085E-2</v>
      </c>
      <c r="AY29" s="26">
        <v>8</v>
      </c>
      <c r="AZ29" s="37">
        <v>0.6</v>
      </c>
      <c r="BA29" s="26">
        <v>7.3</v>
      </c>
      <c r="BB29" s="16"/>
      <c r="BC29" s="75"/>
      <c r="BD29" s="84">
        <f t="shared" si="19"/>
        <v>35.029097456273561</v>
      </c>
    </row>
    <row r="30" spans="1:56" s="7" customFormat="1" x14ac:dyDescent="0.3">
      <c r="A30" s="73" t="s">
        <v>51</v>
      </c>
      <c r="B30" s="52" t="s">
        <v>71</v>
      </c>
      <c r="C30" s="52" t="s">
        <v>71</v>
      </c>
      <c r="D30" s="30">
        <v>40678</v>
      </c>
      <c r="E30" s="31" t="s">
        <v>65</v>
      </c>
      <c r="F30" s="32">
        <v>3.5269158315436665E-2</v>
      </c>
      <c r="G30" s="33">
        <f t="shared" si="55"/>
        <v>5.0812791118623633</v>
      </c>
      <c r="H30" s="32">
        <v>1972.5502563123096</v>
      </c>
      <c r="I30" s="33">
        <f t="shared" si="56"/>
        <v>85.80035912624227</v>
      </c>
      <c r="J30" s="32">
        <v>45.985454337087752</v>
      </c>
      <c r="K30" s="33">
        <f t="shared" si="57"/>
        <v>2.5547474631715419</v>
      </c>
      <c r="L30" s="32">
        <v>53.728265862263406</v>
      </c>
      <c r="M30" s="33">
        <f t="shared" si="58"/>
        <v>1.3741947378961432</v>
      </c>
      <c r="N30" s="32">
        <v>588.6284242113187</v>
      </c>
      <c r="O30" s="33">
        <f t="shared" si="59"/>
        <v>24.21840873117954</v>
      </c>
      <c r="P30" s="32">
        <v>1629.453734629225</v>
      </c>
      <c r="Q30" s="33">
        <f t="shared" si="60"/>
        <v>40.657062094646065</v>
      </c>
      <c r="R30" s="32">
        <v>0.63653380414302185</v>
      </c>
      <c r="S30" s="33">
        <f t="shared" si="61"/>
        <v>7.2647090178386415</v>
      </c>
      <c r="T30" s="32">
        <v>1.7048686629046632</v>
      </c>
      <c r="U30" s="33">
        <f t="shared" si="62"/>
        <v>89.739375876653497</v>
      </c>
      <c r="V30" s="34" t="s">
        <v>30</v>
      </c>
      <c r="W30" s="33"/>
      <c r="X30" s="32">
        <v>36.3568512084858</v>
      </c>
      <c r="Y30" s="33">
        <f t="shared" si="63"/>
        <v>615.75860728415762</v>
      </c>
      <c r="Z30" s="34" t="s">
        <v>30</v>
      </c>
      <c r="AA30" s="35"/>
      <c r="AB30" s="34">
        <v>91.59491260296231</v>
      </c>
      <c r="AC30" s="35">
        <f t="shared" si="64"/>
        <v>2034.0864446582791</v>
      </c>
      <c r="AD30" s="34">
        <v>18.217825520463169</v>
      </c>
      <c r="AE30" s="35">
        <f t="shared" si="65"/>
        <v>191.54479571510007</v>
      </c>
      <c r="AF30" s="34">
        <v>3367.4430614113935</v>
      </c>
      <c r="AG30" s="35">
        <f t="shared" si="66"/>
        <v>94.983303568425612</v>
      </c>
      <c r="AH30" s="34">
        <v>9.5961415943940445</v>
      </c>
      <c r="AI30" s="35">
        <f t="shared" si="67"/>
        <v>120.09588499191587</v>
      </c>
      <c r="AJ30" s="34">
        <v>86.953878412157721</v>
      </c>
      <c r="AK30" s="35">
        <f t="shared" si="68"/>
        <v>1.4022557395929323</v>
      </c>
      <c r="AL30" s="34">
        <v>0.76878412814408725</v>
      </c>
      <c r="AM30" s="35">
        <f t="shared" ref="AM30:AM35" si="73">1000*AL30/130.12</f>
        <v>5.9082702747009472</v>
      </c>
      <c r="AN30" s="34">
        <v>2.8786303501610826</v>
      </c>
      <c r="AO30" s="35">
        <f t="shared" si="69"/>
        <v>24.796540185727302</v>
      </c>
      <c r="AP30" s="34">
        <v>499.73161718508209</v>
      </c>
      <c r="AQ30" s="35">
        <f t="shared" si="70"/>
        <v>5.2012574775453757</v>
      </c>
      <c r="AR30" s="34">
        <v>17.740727825857672</v>
      </c>
      <c r="AS30" s="35">
        <f t="shared" si="71"/>
        <v>201.5304762678368</v>
      </c>
      <c r="AT30" s="24">
        <v>885474.1</v>
      </c>
      <c r="AU30" s="36">
        <v>32394.556323709745</v>
      </c>
      <c r="AV30" s="24">
        <v>37245.177817572898</v>
      </c>
      <c r="AW30" s="36">
        <v>10464.504761065029</v>
      </c>
      <c r="AX30" s="25">
        <f t="shared" si="72"/>
        <v>4.2062413590157971E-2</v>
      </c>
      <c r="AY30" s="26">
        <v>5.2</v>
      </c>
      <c r="AZ30" s="37">
        <v>0.4</v>
      </c>
      <c r="BA30" s="26">
        <v>8.4</v>
      </c>
      <c r="BB30" s="4"/>
      <c r="BC30" s="69"/>
      <c r="BD30" s="84">
        <f t="shared" si="19"/>
        <v>149.33990611561094</v>
      </c>
    </row>
    <row r="31" spans="1:56" s="7" customFormat="1" x14ac:dyDescent="0.3">
      <c r="A31" s="73" t="s">
        <v>52</v>
      </c>
      <c r="B31" s="52" t="s">
        <v>71</v>
      </c>
      <c r="C31" s="52" t="s">
        <v>71</v>
      </c>
      <c r="D31" s="30">
        <v>40679</v>
      </c>
      <c r="E31" s="31" t="s">
        <v>65</v>
      </c>
      <c r="F31" s="32">
        <v>5.0130269590891383E-2</v>
      </c>
      <c r="G31" s="33">
        <f t="shared" si="55"/>
        <v>7.2223411022750872</v>
      </c>
      <c r="H31" s="32">
        <v>2951.1271670642718</v>
      </c>
      <c r="I31" s="33">
        <f t="shared" si="56"/>
        <v>128.365687997576</v>
      </c>
      <c r="J31" s="32">
        <v>58.95065522746939</v>
      </c>
      <c r="K31" s="33">
        <f t="shared" si="57"/>
        <v>3.2750364015260773</v>
      </c>
      <c r="L31" s="32">
        <v>84.3393088510865</v>
      </c>
      <c r="M31" s="33">
        <f t="shared" si="58"/>
        <v>2.1571259105602971</v>
      </c>
      <c r="N31" s="32">
        <v>607.70480296698327</v>
      </c>
      <c r="O31" s="33">
        <f t="shared" si="59"/>
        <v>25.003283397119247</v>
      </c>
      <c r="P31" s="32">
        <v>1611.4150733571551</v>
      </c>
      <c r="Q31" s="33">
        <f t="shared" si="60"/>
        <v>40.206973236118444</v>
      </c>
      <c r="R31" s="32">
        <v>1.1804187392046201</v>
      </c>
      <c r="S31" s="33">
        <f t="shared" si="61"/>
        <v>13.472023958053185</v>
      </c>
      <c r="T31" s="32">
        <v>1.7480701591610057</v>
      </c>
      <c r="U31" s="33">
        <f t="shared" si="62"/>
        <v>92.013378206179894</v>
      </c>
      <c r="V31" s="34" t="s">
        <v>30</v>
      </c>
      <c r="W31" s="33"/>
      <c r="X31" s="32">
        <v>35.122349265401894</v>
      </c>
      <c r="Y31" s="33">
        <f t="shared" si="63"/>
        <v>594.85043806994599</v>
      </c>
      <c r="Z31" s="34" t="s">
        <v>30</v>
      </c>
      <c r="AA31" s="35"/>
      <c r="AB31" s="34">
        <v>119.30989217138386</v>
      </c>
      <c r="AC31" s="35">
        <f t="shared" si="64"/>
        <v>2649.5645607680181</v>
      </c>
      <c r="AD31" s="34">
        <v>19.665655623805463</v>
      </c>
      <c r="AE31" s="35">
        <f t="shared" si="65"/>
        <v>206.76748631905647</v>
      </c>
      <c r="AF31" s="34">
        <v>5073.2212252548425</v>
      </c>
      <c r="AG31" s="35">
        <f t="shared" si="66"/>
        <v>143.0970926368669</v>
      </c>
      <c r="AH31" s="34">
        <v>15.996307853933526</v>
      </c>
      <c r="AI31" s="35">
        <f t="shared" si="67"/>
        <v>200.19408107145483</v>
      </c>
      <c r="AJ31" s="34">
        <v>77.594120631705024</v>
      </c>
      <c r="AK31" s="35">
        <f t="shared" si="68"/>
        <v>1.2513162495033869</v>
      </c>
      <c r="AL31" s="34" t="s">
        <v>30</v>
      </c>
      <c r="AM31" s="35"/>
      <c r="AN31" s="34">
        <v>4.0880784820937706</v>
      </c>
      <c r="AO31" s="35">
        <f t="shared" si="69"/>
        <v>35.214734103658976</v>
      </c>
      <c r="AP31" s="34">
        <v>786.33795688088458</v>
      </c>
      <c r="AQ31" s="35">
        <f t="shared" si="70"/>
        <v>8.1842853993160283</v>
      </c>
      <c r="AR31" s="34">
        <v>27.02236462002724</v>
      </c>
      <c r="AS31" s="35">
        <f t="shared" si="71"/>
        <v>306.96767715582462</v>
      </c>
      <c r="AT31" s="24">
        <v>1001249.1999999998</v>
      </c>
      <c r="AU31" s="36">
        <v>145670.63462884401</v>
      </c>
      <c r="AV31" s="24">
        <v>42725.850949067528</v>
      </c>
      <c r="AW31" s="36">
        <v>13263.053917327661</v>
      </c>
      <c r="AX31" s="25">
        <f t="shared" si="72"/>
        <v>4.2672544406594813E-2</v>
      </c>
      <c r="AY31" s="26">
        <v>4</v>
      </c>
      <c r="AZ31" s="37">
        <v>0.5</v>
      </c>
      <c r="BA31" s="26">
        <v>8.9</v>
      </c>
      <c r="BB31" s="4"/>
      <c r="BC31" s="69"/>
      <c r="BD31" s="84">
        <f t="shared" si="19"/>
        <v>185.5426845389068</v>
      </c>
    </row>
    <row r="32" spans="1:56" s="7" customFormat="1" x14ac:dyDescent="0.3">
      <c r="A32" s="73" t="s">
        <v>53</v>
      </c>
      <c r="B32" s="52" t="s">
        <v>71</v>
      </c>
      <c r="C32" s="52" t="s">
        <v>71</v>
      </c>
      <c r="D32" s="30">
        <v>40681</v>
      </c>
      <c r="E32" s="31" t="s">
        <v>65</v>
      </c>
      <c r="F32" s="32">
        <v>9.1043792284986325E-2</v>
      </c>
      <c r="G32" s="33">
        <f t="shared" si="55"/>
        <v>13.116812027803821</v>
      </c>
      <c r="H32" s="32">
        <v>5332.8622195660964</v>
      </c>
      <c r="I32" s="33">
        <f t="shared" si="56"/>
        <v>231.96442886324911</v>
      </c>
      <c r="J32" s="32">
        <v>127.09617750532342</v>
      </c>
      <c r="K32" s="33">
        <f t="shared" si="57"/>
        <v>7.0608987502957454</v>
      </c>
      <c r="L32" s="32">
        <v>183.12284240313227</v>
      </c>
      <c r="M32" s="33">
        <f t="shared" si="58"/>
        <v>4.6836882296570739</v>
      </c>
      <c r="N32" s="32">
        <v>1156.6754459949022</v>
      </c>
      <c r="O32" s="33">
        <f t="shared" si="59"/>
        <v>47.590020407113855</v>
      </c>
      <c r="P32" s="32">
        <v>2811.9298444180395</v>
      </c>
      <c r="Q32" s="33">
        <f t="shared" si="60"/>
        <v>70.161431319378195</v>
      </c>
      <c r="R32" s="32">
        <v>4.255192591947778</v>
      </c>
      <c r="S32" s="33">
        <f t="shared" si="61"/>
        <v>48.564170188858455</v>
      </c>
      <c r="T32" s="32">
        <v>4.4500503879119728</v>
      </c>
      <c r="U32" s="33">
        <f t="shared" si="62"/>
        <v>234.2378349253591</v>
      </c>
      <c r="V32" s="34" t="s">
        <v>30</v>
      </c>
      <c r="W32" s="33"/>
      <c r="X32" s="32">
        <v>63.603898293583796</v>
      </c>
      <c r="Y32" s="33">
        <f t="shared" si="63"/>
        <v>1077.2288173833717</v>
      </c>
      <c r="Z32" s="34" t="s">
        <v>30</v>
      </c>
      <c r="AA32" s="35"/>
      <c r="AB32" s="34">
        <v>208.49708231736233</v>
      </c>
      <c r="AC32" s="35">
        <f t="shared" si="64"/>
        <v>4630.1817081359613</v>
      </c>
      <c r="AD32" s="34">
        <v>69.676728015578831</v>
      </c>
      <c r="AE32" s="35">
        <f t="shared" si="65"/>
        <v>732.59097903037355</v>
      </c>
      <c r="AF32" s="34">
        <v>9025.752686406362</v>
      </c>
      <c r="AG32" s="35">
        <f t="shared" si="66"/>
        <v>254.58360890210594</v>
      </c>
      <c r="AH32" s="34">
        <v>34.714327469689032</v>
      </c>
      <c r="AI32" s="35">
        <f t="shared" si="67"/>
        <v>434.45043389178301</v>
      </c>
      <c r="AJ32" s="34">
        <v>385.65102883831582</v>
      </c>
      <c r="AK32" s="35">
        <f t="shared" si="68"/>
        <v>6.2191747917806133</v>
      </c>
      <c r="AL32" s="34">
        <v>1.94647629192334</v>
      </c>
      <c r="AM32" s="35">
        <f t="shared" si="73"/>
        <v>14.959086166026283</v>
      </c>
      <c r="AN32" s="34">
        <v>11.845703428612213</v>
      </c>
      <c r="AO32" s="35">
        <f t="shared" si="69"/>
        <v>102.03896484289957</v>
      </c>
      <c r="AP32" s="34">
        <v>2323.5536574027587</v>
      </c>
      <c r="AQ32" s="35">
        <f t="shared" si="70"/>
        <v>24.183782693437266</v>
      </c>
      <c r="AR32" s="34">
        <v>37.300155684034841</v>
      </c>
      <c r="AS32" s="35">
        <f t="shared" si="71"/>
        <v>423.72095517476816</v>
      </c>
      <c r="AT32" s="24">
        <v>2409240</v>
      </c>
      <c r="AU32" s="36">
        <v>28647.185411485018</v>
      </c>
      <c r="AV32" s="24">
        <v>73883.071302880606</v>
      </c>
      <c r="AW32" s="36">
        <v>24843.135691811734</v>
      </c>
      <c r="AX32" s="25">
        <f t="shared" si="72"/>
        <v>3.0666546837542382E-2</v>
      </c>
      <c r="AY32" s="26">
        <v>10.9</v>
      </c>
      <c r="AZ32" s="37">
        <v>1.4</v>
      </c>
      <c r="BA32" s="26">
        <v>7.5</v>
      </c>
      <c r="BB32" s="4"/>
      <c r="BC32" s="69"/>
      <c r="BD32" s="84">
        <f t="shared" si="19"/>
        <v>323.19331601551653</v>
      </c>
    </row>
    <row r="33" spans="1:56" s="7" customFormat="1" x14ac:dyDescent="0.3">
      <c r="A33" s="73" t="s">
        <v>54</v>
      </c>
      <c r="B33" s="52" t="s">
        <v>71</v>
      </c>
      <c r="C33" s="52" t="s">
        <v>71</v>
      </c>
      <c r="D33" s="30">
        <v>40683</v>
      </c>
      <c r="E33" s="31" t="s">
        <v>65</v>
      </c>
      <c r="F33" s="32">
        <v>3.3827214826297268E-2</v>
      </c>
      <c r="G33" s="33">
        <f t="shared" si="55"/>
        <v>4.8735362089464438</v>
      </c>
      <c r="H33" s="32">
        <v>834.43156741112182</v>
      </c>
      <c r="I33" s="33">
        <f t="shared" si="56"/>
        <v>36.295413980475068</v>
      </c>
      <c r="J33" s="32">
        <v>128.4497055144904</v>
      </c>
      <c r="K33" s="33">
        <f t="shared" si="57"/>
        <v>7.1360947508050225</v>
      </c>
      <c r="L33" s="32">
        <v>23.882429237584901</v>
      </c>
      <c r="M33" s="33">
        <f t="shared" si="58"/>
        <v>0.61083506157821121</v>
      </c>
      <c r="N33" s="32">
        <v>149.68467374964862</v>
      </c>
      <c r="O33" s="33">
        <f t="shared" si="59"/>
        <v>6.1585959164636339</v>
      </c>
      <c r="P33" s="32">
        <v>207.31168942262025</v>
      </c>
      <c r="Q33" s="33">
        <f t="shared" si="60"/>
        <v>5.1727054599186646</v>
      </c>
      <c r="R33" s="32">
        <v>0.32782172163920209</v>
      </c>
      <c r="S33" s="33">
        <f t="shared" si="61"/>
        <v>3.7414028947637763</v>
      </c>
      <c r="T33" s="32">
        <v>1.1187361719729694</v>
      </c>
      <c r="U33" s="33">
        <f t="shared" si="62"/>
        <v>58.887049793292412</v>
      </c>
      <c r="V33" s="34" t="s">
        <v>30</v>
      </c>
      <c r="W33" s="33"/>
      <c r="X33" s="32">
        <v>13.692860839652747</v>
      </c>
      <c r="Y33" s="33">
        <f t="shared" si="63"/>
        <v>231.90943770159114</v>
      </c>
      <c r="Z33" s="34" t="s">
        <v>30</v>
      </c>
      <c r="AA33" s="35"/>
      <c r="AB33" s="34">
        <v>11.862269481158236</v>
      </c>
      <c r="AC33" s="35">
        <f t="shared" si="64"/>
        <v>263.43036822469992</v>
      </c>
      <c r="AD33" s="34">
        <v>12.518040217643378</v>
      </c>
      <c r="AE33" s="35">
        <f t="shared" si="65"/>
        <v>131.6164464056711</v>
      </c>
      <c r="AF33" s="34">
        <v>1512.1450026640398</v>
      </c>
      <c r="AG33" s="35">
        <f t="shared" si="66"/>
        <v>42.652102859110364</v>
      </c>
      <c r="AH33" s="34">
        <v>8.4581308835614202</v>
      </c>
      <c r="AI33" s="35">
        <f t="shared" si="67"/>
        <v>105.85366043704221</v>
      </c>
      <c r="AJ33" s="34">
        <v>169.43113155168243</v>
      </c>
      <c r="AK33" s="35">
        <f t="shared" si="68"/>
        <v>2.7323194896255836</v>
      </c>
      <c r="AL33" s="34">
        <v>0.39300563162471996</v>
      </c>
      <c r="AM33" s="35">
        <f t="shared" si="73"/>
        <v>3.0203322442723635</v>
      </c>
      <c r="AN33" s="34">
        <v>3.5171419826790196</v>
      </c>
      <c r="AO33" s="35">
        <f t="shared" si="69"/>
        <v>30.296683458342834</v>
      </c>
      <c r="AP33" s="34">
        <v>558.03028117755161</v>
      </c>
      <c r="AQ33" s="35">
        <f t="shared" si="70"/>
        <v>5.8080358993906227</v>
      </c>
      <c r="AR33" s="34">
        <v>5.6531265270024011</v>
      </c>
      <c r="AS33" s="35">
        <f t="shared" si="71"/>
        <v>64.218181608569822</v>
      </c>
      <c r="AT33" s="24">
        <v>1254054.2000000004</v>
      </c>
      <c r="AU33" s="36">
        <v>30401.577595250103</v>
      </c>
      <c r="AV33" s="24">
        <v>41242.01752255117</v>
      </c>
      <c r="AW33" s="36">
        <v>14528.198459800447</v>
      </c>
      <c r="AX33" s="25">
        <f t="shared" si="72"/>
        <v>3.2886949800535858E-2</v>
      </c>
      <c r="AY33" s="26">
        <v>11.2</v>
      </c>
      <c r="AZ33" s="37">
        <v>1.1000000000000001</v>
      </c>
      <c r="BA33" s="26">
        <v>6.9</v>
      </c>
      <c r="BB33" s="4"/>
      <c r="BC33" s="69"/>
      <c r="BD33" s="84">
        <f t="shared" si="19"/>
        <v>35.11840446211712</v>
      </c>
    </row>
    <row r="34" spans="1:56" s="15" customFormat="1" x14ac:dyDescent="0.3">
      <c r="A34" s="73" t="s">
        <v>55</v>
      </c>
      <c r="B34" s="52" t="s">
        <v>71</v>
      </c>
      <c r="C34" s="52" t="s">
        <v>71</v>
      </c>
      <c r="D34" s="30">
        <v>40682</v>
      </c>
      <c r="E34" s="31" t="s">
        <v>65</v>
      </c>
      <c r="F34" s="32">
        <v>8.5295504051254925E-2</v>
      </c>
      <c r="G34" s="33">
        <f t="shared" si="55"/>
        <v>12.288647752666032</v>
      </c>
      <c r="H34" s="32">
        <v>3976.2546379565538</v>
      </c>
      <c r="I34" s="33">
        <f t="shared" si="56"/>
        <v>172.95583462185968</v>
      </c>
      <c r="J34" s="32">
        <v>34.628783937067524</v>
      </c>
      <c r="K34" s="33">
        <f t="shared" si="57"/>
        <v>1.9238213298370848</v>
      </c>
      <c r="L34" s="32">
        <v>127.83107564742357</v>
      </c>
      <c r="M34" s="33">
        <f t="shared" si="58"/>
        <v>3.2695042111469532</v>
      </c>
      <c r="N34" s="32">
        <v>1026.8500266794831</v>
      </c>
      <c r="O34" s="33">
        <f t="shared" si="59"/>
        <v>42.248509635033251</v>
      </c>
      <c r="P34" s="32">
        <v>2582.0040297217038</v>
      </c>
      <c r="Q34" s="33">
        <f t="shared" si="60"/>
        <v>64.424473020652314</v>
      </c>
      <c r="R34" s="32">
        <v>2.0735387592092995</v>
      </c>
      <c r="S34" s="33">
        <f t="shared" si="61"/>
        <v>23.665130783032403</v>
      </c>
      <c r="T34" s="32">
        <v>3.1363923317426972</v>
      </c>
      <c r="U34" s="33">
        <f t="shared" si="62"/>
        <v>165.09065858209794</v>
      </c>
      <c r="V34" s="34" t="s">
        <v>30</v>
      </c>
      <c r="W34" s="33"/>
      <c r="X34" s="32">
        <v>66.352123931473656</v>
      </c>
      <c r="Y34" s="33">
        <f t="shared" si="63"/>
        <v>1123.77420112922</v>
      </c>
      <c r="Z34" s="34" t="s">
        <v>30</v>
      </c>
      <c r="AA34" s="35"/>
      <c r="AB34" s="34">
        <v>204.58787769270273</v>
      </c>
      <c r="AC34" s="35">
        <f t="shared" si="64"/>
        <v>4543.3683698135183</v>
      </c>
      <c r="AD34" s="34">
        <v>33.678348747851878</v>
      </c>
      <c r="AE34" s="35">
        <f t="shared" si="65"/>
        <v>354.09892490644393</v>
      </c>
      <c r="AF34" s="34">
        <v>6790.8077939484583</v>
      </c>
      <c r="AG34" s="35">
        <f t="shared" si="66"/>
        <v>191.54395379653224</v>
      </c>
      <c r="AH34" s="34">
        <v>24.436405397236513</v>
      </c>
      <c r="AI34" s="35">
        <f t="shared" si="67"/>
        <v>305.82205393017267</v>
      </c>
      <c r="AJ34" s="34">
        <v>130.03831969950861</v>
      </c>
      <c r="AK34" s="35">
        <f t="shared" si="68"/>
        <v>2.0970540186987359</v>
      </c>
      <c r="AL34" s="34">
        <v>1.1102823391049672</v>
      </c>
      <c r="AM34" s="35">
        <f t="shared" si="73"/>
        <v>8.5327569866659019</v>
      </c>
      <c r="AN34" s="34">
        <v>5.6144895707958939</v>
      </c>
      <c r="AO34" s="35">
        <f t="shared" si="69"/>
        <v>48.363248951640053</v>
      </c>
      <c r="AP34" s="34">
        <v>1235.8224508846522</v>
      </c>
      <c r="AQ34" s="35">
        <f t="shared" si="70"/>
        <v>12.862565710349319</v>
      </c>
      <c r="AR34" s="34">
        <v>39.482633029346424</v>
      </c>
      <c r="AS34" s="35">
        <f t="shared" si="71"/>
        <v>448.51338213502697</v>
      </c>
      <c r="AT34" s="24">
        <v>168546.70000000007</v>
      </c>
      <c r="AU34" s="36">
        <v>4678.8340887447475</v>
      </c>
      <c r="AV34" s="24">
        <v>3341.3195629915431</v>
      </c>
      <c r="AW34" s="36">
        <v>400.643960097118</v>
      </c>
      <c r="AX34" s="25">
        <f t="shared" si="72"/>
        <v>1.9824295361413433E-2</v>
      </c>
      <c r="AY34" s="26">
        <v>5</v>
      </c>
      <c r="AZ34" s="37">
        <v>0.1</v>
      </c>
      <c r="BA34" s="26">
        <v>7.7</v>
      </c>
      <c r="BB34" s="16"/>
      <c r="BC34" s="75"/>
      <c r="BD34" s="84">
        <f t="shared" si="19"/>
        <v>317.14740656342366</v>
      </c>
    </row>
    <row r="35" spans="1:56" s="7" customFormat="1" x14ac:dyDescent="0.3">
      <c r="A35" s="73" t="s">
        <v>56</v>
      </c>
      <c r="B35" s="52" t="s">
        <v>71</v>
      </c>
      <c r="C35" s="52" t="s">
        <v>71</v>
      </c>
      <c r="D35" s="30">
        <v>40686</v>
      </c>
      <c r="E35" s="31" t="s">
        <v>65</v>
      </c>
      <c r="F35" s="32">
        <v>4.6570877554637367E-2</v>
      </c>
      <c r="G35" s="33">
        <f t="shared" si="55"/>
        <v>6.709534296879033</v>
      </c>
      <c r="H35" s="32">
        <v>2757.3956576079067</v>
      </c>
      <c r="I35" s="33">
        <f t="shared" si="56"/>
        <v>119.93891507646399</v>
      </c>
      <c r="J35" s="32">
        <v>47.612368863258688</v>
      </c>
      <c r="K35" s="33">
        <f t="shared" si="57"/>
        <v>2.6451316035143715</v>
      </c>
      <c r="L35" s="32">
        <v>86.490629792855287</v>
      </c>
      <c r="M35" s="33">
        <f t="shared" si="58"/>
        <v>2.2121497210306229</v>
      </c>
      <c r="N35" s="32">
        <v>767.7941300289101</v>
      </c>
      <c r="O35" s="33">
        <f t="shared" si="59"/>
        <v>31.589966263275464</v>
      </c>
      <c r="P35" s="32">
        <v>1905.187352174911</v>
      </c>
      <c r="Q35" s="33">
        <f t="shared" si="60"/>
        <v>47.536986680346097</v>
      </c>
      <c r="R35" s="32">
        <v>1.0514250331948598</v>
      </c>
      <c r="S35" s="33">
        <f t="shared" si="61"/>
        <v>11.999829185058889</v>
      </c>
      <c r="T35" s="32">
        <v>1.9850957961620861</v>
      </c>
      <c r="U35" s="33">
        <f t="shared" si="62"/>
        <v>104.48972503221844</v>
      </c>
      <c r="V35" s="34" t="s">
        <v>30</v>
      </c>
      <c r="W35" s="33"/>
      <c r="X35" s="32">
        <v>53.908404171082111</v>
      </c>
      <c r="Y35" s="33">
        <f t="shared" si="63"/>
        <v>913.02086869253628</v>
      </c>
      <c r="Z35" s="34" t="s">
        <v>30</v>
      </c>
      <c r="AA35" s="35"/>
      <c r="AB35" s="34">
        <v>141.70497706922794</v>
      </c>
      <c r="AC35" s="35">
        <f t="shared" si="64"/>
        <v>3146.9015560565826</v>
      </c>
      <c r="AD35" s="34">
        <v>22.268114452731393</v>
      </c>
      <c r="AE35" s="35">
        <f t="shared" si="65"/>
        <v>234.13010674725467</v>
      </c>
      <c r="AF35" s="34">
        <v>4815.8207727942663</v>
      </c>
      <c r="AG35" s="35">
        <f t="shared" si="66"/>
        <v>135.83676339926851</v>
      </c>
      <c r="AH35" s="34">
        <v>17.560062239315727</v>
      </c>
      <c r="AI35" s="35">
        <f t="shared" si="67"/>
        <v>219.7644953859097</v>
      </c>
      <c r="AJ35" s="34">
        <v>73.101062298045861</v>
      </c>
      <c r="AK35" s="35">
        <f t="shared" si="68"/>
        <v>1.1788592533147213</v>
      </c>
      <c r="AL35" s="34">
        <v>0.54674972725017645</v>
      </c>
      <c r="AM35" s="35">
        <f t="shared" si="73"/>
        <v>4.201888466416972</v>
      </c>
      <c r="AN35" s="34">
        <v>5.6982874278417892</v>
      </c>
      <c r="AO35" s="35">
        <f t="shared" si="69"/>
        <v>49.085084226391501</v>
      </c>
      <c r="AP35" s="34">
        <v>757.91798176982991</v>
      </c>
      <c r="AQ35" s="35">
        <f t="shared" si="70"/>
        <v>7.8884874090054016</v>
      </c>
      <c r="AR35" s="34">
        <v>53.455639898420372</v>
      </c>
      <c r="AS35" s="35">
        <f t="shared" si="71"/>
        <v>607.24343858253292</v>
      </c>
      <c r="AT35" s="24">
        <v>1277810.0999999999</v>
      </c>
      <c r="AU35" s="36">
        <v>36793.045370422566</v>
      </c>
      <c r="AV35" s="24">
        <v>38067.844515838573</v>
      </c>
      <c r="AW35" s="36">
        <v>12631.846330565339</v>
      </c>
      <c r="AX35" s="25">
        <f t="shared" si="72"/>
        <v>2.9791472548102865E-2</v>
      </c>
      <c r="AY35" s="26">
        <v>1.4</v>
      </c>
      <c r="AZ35" s="37">
        <v>0.3</v>
      </c>
      <c r="BA35" s="26">
        <v>7.4</v>
      </c>
      <c r="BB35" s="4"/>
      <c r="BC35" s="69"/>
      <c r="BD35" s="84">
        <f t="shared" si="19"/>
        <v>255.3140582938224</v>
      </c>
    </row>
    <row r="36" spans="1:56" s="7" customFormat="1" x14ac:dyDescent="0.3">
      <c r="A36" s="73" t="s">
        <v>57</v>
      </c>
      <c r="B36" s="52" t="s">
        <v>71</v>
      </c>
      <c r="C36" s="52" t="s">
        <v>71</v>
      </c>
      <c r="D36" s="30">
        <v>40688</v>
      </c>
      <c r="E36" s="31" t="s">
        <v>65</v>
      </c>
      <c r="F36" s="32">
        <v>4.8662345137983697E-2</v>
      </c>
      <c r="G36" s="33">
        <f t="shared" si="55"/>
        <v>7.0108550839913129</v>
      </c>
      <c r="H36" s="32">
        <v>1138.3682891986671</v>
      </c>
      <c r="I36" s="33">
        <f t="shared" si="56"/>
        <v>49.515802053008578</v>
      </c>
      <c r="J36" s="32">
        <v>41.116132484824128</v>
      </c>
      <c r="K36" s="33">
        <f t="shared" si="57"/>
        <v>2.2842295824902292</v>
      </c>
      <c r="L36" s="32">
        <v>37.85955030742398</v>
      </c>
      <c r="M36" s="33">
        <f t="shared" si="58"/>
        <v>0.96832447458754878</v>
      </c>
      <c r="N36" s="32">
        <v>876.7632582198471</v>
      </c>
      <c r="O36" s="33">
        <f t="shared" si="59"/>
        <v>36.073370015216916</v>
      </c>
      <c r="P36" s="32">
        <v>2060.8696880623415</v>
      </c>
      <c r="Q36" s="33">
        <f t="shared" si="60"/>
        <v>51.421470334406443</v>
      </c>
      <c r="R36" s="32">
        <v>0.25846467611609852</v>
      </c>
      <c r="S36" s="33">
        <f t="shared" si="61"/>
        <v>2.9498365226671823</v>
      </c>
      <c r="T36" s="32">
        <v>2.7335498086796823</v>
      </c>
      <c r="U36" s="33">
        <f t="shared" si="62"/>
        <v>143.88618847666504</v>
      </c>
      <c r="V36" s="34" t="s">
        <v>30</v>
      </c>
      <c r="W36" s="33"/>
      <c r="X36" s="32">
        <v>35.320242369096334</v>
      </c>
      <c r="Y36" s="33">
        <f t="shared" si="63"/>
        <v>598.20205895766435</v>
      </c>
      <c r="Z36" s="34" t="s">
        <v>30</v>
      </c>
      <c r="AA36" s="35"/>
      <c r="AB36" s="34">
        <v>102.86753042012943</v>
      </c>
      <c r="AC36" s="35">
        <f t="shared" si="64"/>
        <v>2284.4221723324322</v>
      </c>
      <c r="AD36" s="34" t="s">
        <v>30</v>
      </c>
      <c r="AE36" s="35"/>
      <c r="AF36" s="34">
        <v>1846.1091764141704</v>
      </c>
      <c r="AG36" s="35">
        <f t="shared" si="66"/>
        <v>52.072015807242551</v>
      </c>
      <c r="AH36" s="34">
        <v>7.5715129333697719</v>
      </c>
      <c r="AI36" s="35">
        <f t="shared" si="67"/>
        <v>94.757620812096675</v>
      </c>
      <c r="AJ36" s="34">
        <v>40.15510180989881</v>
      </c>
      <c r="AK36" s="35">
        <f t="shared" si="68"/>
        <v>0.64755848750038403</v>
      </c>
      <c r="AL36" s="34" t="s">
        <v>30</v>
      </c>
      <c r="AM36" s="35"/>
      <c r="AN36" s="34">
        <v>2.676905901126831</v>
      </c>
      <c r="AO36" s="35">
        <f t="shared" si="69"/>
        <v>23.058884495881049</v>
      </c>
      <c r="AP36" s="34">
        <v>173.50192289522806</v>
      </c>
      <c r="AQ36" s="35">
        <f t="shared" si="70"/>
        <v>1.8058256527985104</v>
      </c>
      <c r="AR36" s="34">
        <v>17.987857545695842</v>
      </c>
      <c r="AS36" s="35">
        <f t="shared" si="71"/>
        <v>204.33781149262572</v>
      </c>
      <c r="AT36" s="24">
        <v>1240883.7000000002</v>
      </c>
      <c r="AU36" s="36">
        <v>34560.093915236728</v>
      </c>
      <c r="AV36" s="24">
        <v>43259.633769072323</v>
      </c>
      <c r="AW36" s="36">
        <v>15782.717591212429</v>
      </c>
      <c r="AX36" s="25">
        <f t="shared" si="72"/>
        <v>3.4861956659654983E-2</v>
      </c>
      <c r="AY36" s="26">
        <v>7.1</v>
      </c>
      <c r="AZ36" s="37">
        <v>1.5</v>
      </c>
      <c r="BA36" s="26">
        <v>6.9</v>
      </c>
      <c r="BB36" s="4"/>
      <c r="BC36" s="69"/>
      <c r="BD36" s="84">
        <f t="shared" si="19"/>
        <v>158.85253623604845</v>
      </c>
    </row>
    <row r="37" spans="1:56" s="7" customFormat="1" x14ac:dyDescent="0.3">
      <c r="A37" s="73" t="s">
        <v>58</v>
      </c>
      <c r="B37" s="52" t="s">
        <v>71</v>
      </c>
      <c r="C37" s="52" t="s">
        <v>71</v>
      </c>
      <c r="D37" s="30">
        <v>40689</v>
      </c>
      <c r="E37" s="31" t="s">
        <v>65</v>
      </c>
      <c r="F37" s="32">
        <v>5.261145163076187E-2</v>
      </c>
      <c r="G37" s="33">
        <f t="shared" si="55"/>
        <v>7.5798086199051822</v>
      </c>
      <c r="H37" s="32">
        <v>965.85932381420491</v>
      </c>
      <c r="I37" s="33">
        <f t="shared" si="56"/>
        <v>42.012149796181163</v>
      </c>
      <c r="J37" s="32">
        <v>33.492619716040544</v>
      </c>
      <c r="K37" s="33">
        <f t="shared" si="57"/>
        <v>1.8607010953355858</v>
      </c>
      <c r="L37" s="32">
        <v>39.846357786143045</v>
      </c>
      <c r="M37" s="33">
        <f t="shared" si="58"/>
        <v>1.0191405643803531</v>
      </c>
      <c r="N37" s="32">
        <v>955.21921385778921</v>
      </c>
      <c r="O37" s="33">
        <f t="shared" si="59"/>
        <v>39.301345972342695</v>
      </c>
      <c r="P37" s="32">
        <v>2188.3334462391108</v>
      </c>
      <c r="Q37" s="33">
        <f t="shared" si="60"/>
        <v>54.601862524055853</v>
      </c>
      <c r="R37" s="32">
        <v>0.25704621465555666</v>
      </c>
      <c r="S37" s="33">
        <f t="shared" si="61"/>
        <v>2.9336477363108493</v>
      </c>
      <c r="T37" s="32">
        <v>3.8533499021898896</v>
      </c>
      <c r="U37" s="33">
        <f t="shared" si="62"/>
        <v>202.82924003526105</v>
      </c>
      <c r="V37" s="34" t="s">
        <v>30</v>
      </c>
      <c r="W37" s="33"/>
      <c r="X37" s="32">
        <v>35.768167625173412</v>
      </c>
      <c r="Y37" s="33">
        <f t="shared" si="63"/>
        <v>605.78835487388073</v>
      </c>
      <c r="Z37" s="34" t="s">
        <v>30</v>
      </c>
      <c r="AA37" s="35"/>
      <c r="AB37" s="34">
        <v>97.787917042051347</v>
      </c>
      <c r="AC37" s="35">
        <f t="shared" si="64"/>
        <v>2171.6170784377382</v>
      </c>
      <c r="AD37" s="34">
        <v>0.81119034386087485</v>
      </c>
      <c r="AE37" s="35">
        <f t="shared" si="65"/>
        <v>8.5289700752904505</v>
      </c>
      <c r="AF37" s="34">
        <v>1556.1330052847272</v>
      </c>
      <c r="AG37" s="35">
        <f t="shared" si="66"/>
        <v>43.892844196111106</v>
      </c>
      <c r="AH37" s="34">
        <v>12.163112560934138</v>
      </c>
      <c r="AI37" s="35">
        <f t="shared" si="67"/>
        <v>152.22157289915572</v>
      </c>
      <c r="AJ37" s="34">
        <v>49.627321560845012</v>
      </c>
      <c r="AK37" s="35">
        <f t="shared" si="68"/>
        <v>0.80031158782204503</v>
      </c>
      <c r="AL37" s="34" t="s">
        <v>30</v>
      </c>
      <c r="AM37" s="35"/>
      <c r="AN37" s="34">
        <v>1.4656581600212613</v>
      </c>
      <c r="AO37" s="35">
        <f t="shared" si="69"/>
        <v>12.625188733062807</v>
      </c>
      <c r="AP37" s="34">
        <v>212.6042171308838</v>
      </c>
      <c r="AQ37" s="35">
        <f t="shared" si="70"/>
        <v>2.2128063065902417</v>
      </c>
      <c r="AR37" s="34">
        <v>18.011165177471529</v>
      </c>
      <c r="AS37" s="35">
        <f t="shared" si="71"/>
        <v>204.60258068239835</v>
      </c>
      <c r="AT37" s="24">
        <v>1188147.0999999999</v>
      </c>
      <c r="AU37" s="36">
        <v>48166.642221459042</v>
      </c>
      <c r="AV37" s="24">
        <v>40607.697105638821</v>
      </c>
      <c r="AW37" s="36">
        <v>28874.345068022452</v>
      </c>
      <c r="AX37" s="25">
        <f t="shared" si="72"/>
        <v>3.4177331330134821E-2</v>
      </c>
      <c r="AY37" s="26">
        <v>12.7</v>
      </c>
      <c r="AZ37" s="37">
        <v>0.2</v>
      </c>
      <c r="BA37" s="26">
        <v>6.7</v>
      </c>
      <c r="BB37" s="4"/>
      <c r="BC37" s="69"/>
      <c r="BD37" s="84">
        <f t="shared" si="19"/>
        <v>153.03290800471754</v>
      </c>
    </row>
    <row r="38" spans="1:56" s="7" customFormat="1" x14ac:dyDescent="0.3">
      <c r="A38" s="73" t="s">
        <v>59</v>
      </c>
      <c r="B38" s="52" t="s">
        <v>71</v>
      </c>
      <c r="C38" s="54" t="s">
        <v>80</v>
      </c>
      <c r="D38" s="30">
        <v>40694</v>
      </c>
      <c r="E38" s="31" t="s">
        <v>65</v>
      </c>
      <c r="F38" s="32">
        <v>1.8147703192141811E-2</v>
      </c>
      <c r="G38" s="33">
        <f t="shared" si="55"/>
        <v>2.6145660844463063</v>
      </c>
      <c r="H38" s="32">
        <v>789.46286133322712</v>
      </c>
      <c r="I38" s="33">
        <f t="shared" si="56"/>
        <v>34.339402406838936</v>
      </c>
      <c r="J38" s="32">
        <v>48.698719000896325</v>
      </c>
      <c r="K38" s="33">
        <f t="shared" si="57"/>
        <v>2.7054843889386846</v>
      </c>
      <c r="L38" s="32">
        <v>20.934750975711953</v>
      </c>
      <c r="M38" s="33">
        <f t="shared" si="58"/>
        <v>0.53544301436676944</v>
      </c>
      <c r="N38" s="32">
        <v>362.09763623916893</v>
      </c>
      <c r="O38" s="33">
        <f t="shared" si="59"/>
        <v>14.898071846910881</v>
      </c>
      <c r="P38" s="32">
        <v>906.09974529445083</v>
      </c>
      <c r="Q38" s="33">
        <f t="shared" si="60"/>
        <v>22.608407238246688</v>
      </c>
      <c r="R38" s="32">
        <v>8.9369501097142298E-2</v>
      </c>
      <c r="S38" s="33">
        <f t="shared" si="61"/>
        <v>1.0199669150552648</v>
      </c>
      <c r="T38" s="32">
        <v>1.6348123272174646</v>
      </c>
      <c r="U38" s="33">
        <f t="shared" si="62"/>
        <v>86.051812149566501</v>
      </c>
      <c r="V38" s="34" t="s">
        <v>30</v>
      </c>
      <c r="W38" s="33"/>
      <c r="X38" s="32">
        <v>8.4353613342602269</v>
      </c>
      <c r="Y38" s="33">
        <f t="shared" si="63"/>
        <v>142.86568210589098</v>
      </c>
      <c r="Z38" s="34">
        <v>0.82388400363943659</v>
      </c>
      <c r="AA38" s="35">
        <f t="shared" ref="AA38" si="74">1000*Z38/73.08</f>
        <v>11.273727471804005</v>
      </c>
      <c r="AB38" s="34">
        <v>31.648703419002775</v>
      </c>
      <c r="AC38" s="35">
        <f t="shared" si="64"/>
        <v>702.83596311354142</v>
      </c>
      <c r="AD38" s="34" t="s">
        <v>30</v>
      </c>
      <c r="AE38" s="35"/>
      <c r="AF38" s="34">
        <v>1270.8301281518468</v>
      </c>
      <c r="AG38" s="35">
        <f t="shared" si="66"/>
        <v>35.845489187144857</v>
      </c>
      <c r="AH38" s="34">
        <v>2.4780889206916696</v>
      </c>
      <c r="AI38" s="35">
        <f t="shared" si="67"/>
        <v>31.013327501647847</v>
      </c>
      <c r="AJ38" s="34">
        <v>8.8974968442876285</v>
      </c>
      <c r="AK38" s="35">
        <f t="shared" si="68"/>
        <v>0.14348487089643008</v>
      </c>
      <c r="AL38" s="34" t="s">
        <v>30</v>
      </c>
      <c r="AM38" s="35"/>
      <c r="AN38" s="34" t="s">
        <v>30</v>
      </c>
      <c r="AO38" s="35"/>
      <c r="AP38" s="34">
        <v>26.925369543601366</v>
      </c>
      <c r="AQ38" s="35">
        <f t="shared" si="70"/>
        <v>0.280241983613499</v>
      </c>
      <c r="AR38" s="34">
        <v>8.7393395223568291</v>
      </c>
      <c r="AS38" s="35">
        <f t="shared" si="71"/>
        <v>99.276832015867654</v>
      </c>
      <c r="AT38" s="24">
        <v>458870.99999999983</v>
      </c>
      <c r="AU38" s="36">
        <v>60097.681417173088</v>
      </c>
      <c r="AV38" s="24">
        <v>42644.428193451851</v>
      </c>
      <c r="AW38" s="36">
        <v>29876.212872008691</v>
      </c>
      <c r="AX38" s="25">
        <f t="shared" si="72"/>
        <v>9.2933369494807613E-2</v>
      </c>
      <c r="AY38" s="26">
        <v>5</v>
      </c>
      <c r="AZ38" s="37">
        <v>0.4</v>
      </c>
      <c r="BA38" s="26">
        <v>8.9</v>
      </c>
      <c r="BB38" s="4"/>
      <c r="BC38" s="69"/>
      <c r="BD38" s="84">
        <f t="shared" si="19"/>
        <v>49.647288279259271</v>
      </c>
    </row>
    <row r="39" spans="1:56" s="7" customFormat="1" x14ac:dyDescent="0.3">
      <c r="A39" s="73" t="s">
        <v>60</v>
      </c>
      <c r="B39" s="52" t="s">
        <v>71</v>
      </c>
      <c r="C39" s="54" t="s">
        <v>80</v>
      </c>
      <c r="D39" s="30">
        <v>40696</v>
      </c>
      <c r="E39" s="31" t="s">
        <v>65</v>
      </c>
      <c r="F39" s="32" t="s">
        <v>30</v>
      </c>
      <c r="G39" s="33"/>
      <c r="H39" s="32">
        <v>682.16395387556224</v>
      </c>
      <c r="I39" s="33">
        <f t="shared" si="56"/>
        <v>29.672203300372434</v>
      </c>
      <c r="J39" s="32">
        <v>35.413485324655028</v>
      </c>
      <c r="K39" s="33">
        <f t="shared" si="57"/>
        <v>1.9674158513697237</v>
      </c>
      <c r="L39" s="32">
        <v>23.103099948131351</v>
      </c>
      <c r="M39" s="33">
        <f t="shared" si="58"/>
        <v>0.59090234661955476</v>
      </c>
      <c r="N39" s="32">
        <v>41.290092215402964</v>
      </c>
      <c r="O39" s="33">
        <f t="shared" si="59"/>
        <v>1.698831195861056</v>
      </c>
      <c r="P39" s="32">
        <v>85.218755761599354</v>
      </c>
      <c r="Q39" s="33">
        <f t="shared" si="60"/>
        <v>2.1263225650381594</v>
      </c>
      <c r="R39" s="32" t="s">
        <v>30</v>
      </c>
      <c r="S39" s="33"/>
      <c r="T39" s="32">
        <v>1.3183934416618874</v>
      </c>
      <c r="U39" s="33">
        <f t="shared" si="62"/>
        <v>69.396433396246309</v>
      </c>
      <c r="V39" s="34" t="s">
        <v>30</v>
      </c>
      <c r="W39" s="33"/>
      <c r="X39" s="32">
        <v>10.413281075690035</v>
      </c>
      <c r="Y39" s="33">
        <f t="shared" si="63"/>
        <v>176.36476315442781</v>
      </c>
      <c r="Z39" s="34" t="s">
        <v>30</v>
      </c>
      <c r="AA39" s="35"/>
      <c r="AB39" s="34">
        <v>32.124502075051083</v>
      </c>
      <c r="AC39" s="35">
        <f t="shared" si="64"/>
        <v>713.40222240841842</v>
      </c>
      <c r="AD39" s="34">
        <v>1.91102989679349</v>
      </c>
      <c r="AE39" s="35">
        <f t="shared" si="65"/>
        <v>20.092838784496795</v>
      </c>
      <c r="AF39" s="34">
        <v>1129.7555923707646</v>
      </c>
      <c r="AG39" s="35">
        <f t="shared" si="66"/>
        <v>31.866290366704213</v>
      </c>
      <c r="AH39" s="34">
        <v>2.1376844354034237</v>
      </c>
      <c r="AI39" s="35">
        <f t="shared" si="67"/>
        <v>26.753159233623148</v>
      </c>
      <c r="AJ39" s="34">
        <v>12.189123701864212</v>
      </c>
      <c r="AK39" s="35">
        <f t="shared" si="68"/>
        <v>0.19656706501958091</v>
      </c>
      <c r="AL39" s="34" t="s">
        <v>30</v>
      </c>
      <c r="AM39" s="35"/>
      <c r="AN39" s="34" t="s">
        <v>30</v>
      </c>
      <c r="AO39" s="35"/>
      <c r="AP39" s="34">
        <v>41.768276359429862</v>
      </c>
      <c r="AQ39" s="35">
        <f t="shared" si="70"/>
        <v>0.43472846677660953</v>
      </c>
      <c r="AR39" s="34">
        <v>1.1176922274098167</v>
      </c>
      <c r="AS39" s="35">
        <f t="shared" si="71"/>
        <v>12.696719611607596</v>
      </c>
      <c r="AT39" s="24">
        <v>339016.30000000005</v>
      </c>
      <c r="AU39" s="36">
        <v>3806.5431680198235</v>
      </c>
      <c r="AV39" s="24">
        <v>8244.0582520831813</v>
      </c>
      <c r="AW39" s="36">
        <v>597.73236552791911</v>
      </c>
      <c r="AX39" s="25">
        <f t="shared" si="72"/>
        <v>2.4317586653158505E-2</v>
      </c>
      <c r="AY39" s="26">
        <v>1.8</v>
      </c>
      <c r="AZ39" s="37">
        <v>0.1</v>
      </c>
      <c r="BA39" s="26">
        <v>6.7</v>
      </c>
      <c r="BB39" s="4"/>
      <c r="BC39" s="69"/>
      <c r="BD39" s="84">
        <f t="shared" si="19"/>
        <v>43.655475378150939</v>
      </c>
    </row>
    <row r="40" spans="1:56" s="7" customFormat="1" x14ac:dyDescent="0.3">
      <c r="A40" s="73" t="s">
        <v>61</v>
      </c>
      <c r="B40" s="52" t="s">
        <v>71</v>
      </c>
      <c r="C40" s="54" t="s">
        <v>80</v>
      </c>
      <c r="D40" s="30">
        <v>40698</v>
      </c>
      <c r="E40" s="31" t="s">
        <v>65</v>
      </c>
      <c r="F40" s="32">
        <v>9.1193182826653906E-3</v>
      </c>
      <c r="G40" s="33">
        <f t="shared" si="55"/>
        <v>1.3138334941168983</v>
      </c>
      <c r="H40" s="32">
        <v>791.83324173261485</v>
      </c>
      <c r="I40" s="33">
        <f t="shared" si="56"/>
        <v>34.442507252397341</v>
      </c>
      <c r="J40" s="32">
        <v>41.413788429731703</v>
      </c>
      <c r="K40" s="33">
        <f t="shared" si="57"/>
        <v>2.3007660238739835</v>
      </c>
      <c r="L40" s="32">
        <v>18.543800248143238</v>
      </c>
      <c r="M40" s="33">
        <f t="shared" si="58"/>
        <v>0.47429025137202002</v>
      </c>
      <c r="N40" s="32">
        <v>25.502637145860078</v>
      </c>
      <c r="O40" s="33">
        <f t="shared" si="59"/>
        <v>1.0492753402945929</v>
      </c>
      <c r="P40" s="32">
        <v>46.74563817491358</v>
      </c>
      <c r="Q40" s="33">
        <f t="shared" si="60"/>
        <v>1.1663665396205793</v>
      </c>
      <c r="R40" s="32" t="s">
        <v>30</v>
      </c>
      <c r="S40" s="33"/>
      <c r="T40" s="32">
        <v>0.55479980879045354</v>
      </c>
      <c r="U40" s="33">
        <f t="shared" si="62"/>
        <v>29.203063943070507</v>
      </c>
      <c r="V40" s="32">
        <v>2.5876503070299886</v>
      </c>
      <c r="W40" s="33">
        <f t="shared" ref="W40" si="75">1000*V40/89.1</f>
        <v>29.042090987990896</v>
      </c>
      <c r="X40" s="32">
        <v>4.5770039655025894</v>
      </c>
      <c r="Y40" s="33">
        <f t="shared" si="63"/>
        <v>77.518527970709798</v>
      </c>
      <c r="Z40" s="34" t="s">
        <v>30</v>
      </c>
      <c r="AA40" s="35"/>
      <c r="AB40" s="34">
        <v>20.860354644487298</v>
      </c>
      <c r="AC40" s="35">
        <f t="shared" si="64"/>
        <v>463.25460014406616</v>
      </c>
      <c r="AD40" s="34" t="s">
        <v>30</v>
      </c>
      <c r="AE40" s="35"/>
      <c r="AF40" s="34">
        <v>1312.893967067243</v>
      </c>
      <c r="AG40" s="35">
        <f t="shared" si="66"/>
        <v>37.031956874375737</v>
      </c>
      <c r="AH40" s="34">
        <v>3.7273945009549521</v>
      </c>
      <c r="AI40" s="35">
        <f t="shared" si="67"/>
        <v>46.648409353160694</v>
      </c>
      <c r="AJ40" s="34">
        <v>8.3310980249605748</v>
      </c>
      <c r="AK40" s="35">
        <f t="shared" si="68"/>
        <v>0.13435087929302653</v>
      </c>
      <c r="AL40" s="34" t="s">
        <v>30</v>
      </c>
      <c r="AM40" s="35"/>
      <c r="AN40" s="34" t="s">
        <v>30</v>
      </c>
      <c r="AO40" s="35"/>
      <c r="AP40" s="34">
        <v>22.694789741682801</v>
      </c>
      <c r="AQ40" s="35">
        <f t="shared" si="70"/>
        <v>0.23620967892757838</v>
      </c>
      <c r="AR40" s="34">
        <v>3.9619574211529893</v>
      </c>
      <c r="AS40" s="35">
        <f t="shared" si="71"/>
        <v>45.006900160774613</v>
      </c>
      <c r="AT40" s="24">
        <v>47818.399999999987</v>
      </c>
      <c r="AU40" s="36">
        <v>1884.1135554949969</v>
      </c>
      <c r="AV40" s="24">
        <v>5096.0715032010785</v>
      </c>
      <c r="AW40" s="36">
        <v>1660.2020242711476</v>
      </c>
      <c r="AX40" s="25">
        <f t="shared" si="72"/>
        <v>0.10657135126229819</v>
      </c>
      <c r="AY40" s="26">
        <v>1</v>
      </c>
      <c r="AZ40" s="37">
        <v>0</v>
      </c>
      <c r="BA40" s="26">
        <v>6.8</v>
      </c>
      <c r="BB40" s="4"/>
      <c r="BC40" s="69"/>
      <c r="BD40" s="84">
        <f t="shared" si="19"/>
        <v>31.986966338172863</v>
      </c>
    </row>
  </sheetData>
  <sortState ref="A2:AU188">
    <sortCondition ref="A1"/>
  </sortState>
  <mergeCells count="21">
    <mergeCell ref="B1:C1"/>
    <mergeCell ref="AJ4:AK4"/>
    <mergeCell ref="AL4:AM4"/>
    <mergeCell ref="AN4:AO4"/>
    <mergeCell ref="AP4:AQ4"/>
    <mergeCell ref="AF4:AG4"/>
    <mergeCell ref="AR4:AS4"/>
    <mergeCell ref="AH4:AI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Orig File Snow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Berger</dc:creator>
  <cp:lastModifiedBy>VOGEL</cp:lastModifiedBy>
  <cp:lastPrinted>2014-01-23T17:19:35Z</cp:lastPrinted>
  <dcterms:created xsi:type="dcterms:W3CDTF">2013-02-05T09:42:45Z</dcterms:created>
  <dcterms:modified xsi:type="dcterms:W3CDTF">2019-10-06T21:34:21Z</dcterms:modified>
</cp:coreProperties>
</file>