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eavitt/Dropbox/Leavitt_Manuscripts/Leavitt_201x_wt.07_chemostat/wt.07_Files_for_Pub/"/>
    </mc:Choice>
  </mc:AlternateContent>
  <xr:revisionPtr revIDLastSave="0" documentId="13_ncr:1_{6C7B3AB7-6919-8849-BD3F-23A47CB11515}" xr6:coauthVersionLast="36" xr6:coauthVersionMax="36" xr10:uidLastSave="{00000000-0000-0000-0000-000000000000}"/>
  <bookViews>
    <workbookView xWindow="9500" yWindow="960" windowWidth="23780" windowHeight="15540" xr2:uid="{FAB7EC23-EE5E-A34E-8456-78B117C93ADA}"/>
  </bookViews>
  <sheets>
    <sheet name="Chemostat_Summary" sheetId="2" r:id="rId1"/>
    <sheet name="Strain_Summary" sheetId="4" r:id="rId2"/>
    <sheet name="Batch_rates" sheetId="8" r:id="rId3"/>
    <sheet name="Isotope_Data_Summary" sheetId="3" r:id="rId4"/>
    <sheet name="Chemostats_Calcs" sheetId="1" r:id="rId5"/>
    <sheet name="IC_Summary" sheetId="5" r:id="rId6"/>
    <sheet name="Cline_summary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3" i="2"/>
  <c r="G4" i="2"/>
  <c r="G3" i="2"/>
  <c r="R44" i="1" l="1"/>
  <c r="R43" i="1"/>
  <c r="R41" i="1"/>
  <c r="R40" i="1"/>
  <c r="R36" i="1"/>
  <c r="R35" i="1"/>
  <c r="R34" i="1"/>
  <c r="R20" i="1"/>
  <c r="R19" i="1"/>
  <c r="R17" i="1"/>
  <c r="R12" i="1"/>
  <c r="R11" i="1"/>
  <c r="R45" i="1"/>
  <c r="R46" i="1"/>
  <c r="K41" i="1" l="1"/>
  <c r="K40" i="1"/>
  <c r="K36" i="1"/>
  <c r="K35" i="1"/>
  <c r="K34" i="1"/>
  <c r="K20" i="1"/>
  <c r="F12" i="5"/>
  <c r="E12" i="5"/>
  <c r="D12" i="5"/>
  <c r="C12" i="5"/>
  <c r="B12" i="5"/>
  <c r="O11" i="1"/>
  <c r="K11" i="1"/>
  <c r="K12" i="1"/>
  <c r="K17" i="1"/>
  <c r="K19" i="1"/>
  <c r="F8" i="5"/>
  <c r="E8" i="5"/>
  <c r="D8" i="5"/>
  <c r="C8" i="5"/>
  <c r="B8" i="5"/>
  <c r="B11" i="5"/>
  <c r="J11" i="5"/>
  <c r="I11" i="5"/>
  <c r="H11" i="5"/>
  <c r="F11" i="5"/>
  <c r="E11" i="5"/>
  <c r="D11" i="5"/>
  <c r="C11" i="5"/>
  <c r="J7" i="5"/>
  <c r="I7" i="5"/>
  <c r="H7" i="5"/>
  <c r="F7" i="5"/>
  <c r="E7" i="5"/>
  <c r="D7" i="5"/>
  <c r="C7" i="5"/>
  <c r="B7" i="5"/>
  <c r="K6" i="5"/>
  <c r="J15" i="3"/>
  <c r="J9" i="3"/>
  <c r="K11" i="5" l="1"/>
  <c r="A25" i="8"/>
  <c r="B25" i="8" s="1"/>
  <c r="A8" i="8" l="1"/>
  <c r="A18" i="8" s="1"/>
  <c r="B18" i="8" s="1"/>
  <c r="C7" i="8"/>
  <c r="A17" i="8"/>
  <c r="B17" i="8" s="1"/>
  <c r="C8" i="8" l="1"/>
  <c r="A9" i="8"/>
  <c r="A10" i="8" l="1"/>
  <c r="C9" i="8"/>
  <c r="A22" i="8" s="1"/>
  <c r="B22" i="8" s="1"/>
  <c r="A19" i="8"/>
  <c r="B19" i="8" s="1"/>
  <c r="K5" i="5"/>
  <c r="F18" i="7"/>
  <c r="G18" i="7" s="1"/>
  <c r="F19" i="7"/>
  <c r="G19" i="7"/>
  <c r="M19" i="7" s="1"/>
  <c r="O19" i="7" s="1"/>
  <c r="F20" i="7"/>
  <c r="G20" i="7"/>
  <c r="M20" i="7" s="1"/>
  <c r="O20" i="7" s="1"/>
  <c r="F21" i="7"/>
  <c r="G21" i="7"/>
  <c r="M21" i="7" s="1"/>
  <c r="O21" i="7" s="1"/>
  <c r="P21" i="7" s="1"/>
  <c r="F22" i="7"/>
  <c r="G22" i="7"/>
  <c r="M22" i="7" s="1"/>
  <c r="O22" i="7" s="1"/>
  <c r="F23" i="7"/>
  <c r="G23" i="7"/>
  <c r="F24" i="7"/>
  <c r="G24" i="7"/>
  <c r="F25" i="7"/>
  <c r="G25" i="7"/>
  <c r="N20" i="7" s="1"/>
  <c r="F26" i="7"/>
  <c r="G26" i="7"/>
  <c r="F27" i="7"/>
  <c r="G27" i="7"/>
  <c r="N22" i="7" s="1"/>
  <c r="F29" i="7"/>
  <c r="G29" i="7"/>
  <c r="M29" i="7" s="1"/>
  <c r="O29" i="7" s="1"/>
  <c r="P29" i="7" s="1"/>
  <c r="F30" i="7"/>
  <c r="G30" i="7"/>
  <c r="M30" i="7" s="1"/>
  <c r="O30" i="7" s="1"/>
  <c r="P30" i="7" s="1"/>
  <c r="F31" i="7"/>
  <c r="G31" i="7"/>
  <c r="M31" i="7" s="1"/>
  <c r="O31" i="7" s="1"/>
  <c r="F32" i="7"/>
  <c r="G32" i="7"/>
  <c r="M32" i="7" s="1"/>
  <c r="O32" i="7" s="1"/>
  <c r="F33" i="7"/>
  <c r="G33" i="7"/>
  <c r="M33" i="7" s="1"/>
  <c r="O33" i="7" s="1"/>
  <c r="F34" i="7"/>
  <c r="G34" i="7"/>
  <c r="N29" i="7" s="1"/>
  <c r="F35" i="7"/>
  <c r="G35" i="7"/>
  <c r="F36" i="7"/>
  <c r="G36" i="7"/>
  <c r="N31" i="7" s="1"/>
  <c r="F37" i="7"/>
  <c r="G37" i="7"/>
  <c r="F38" i="7"/>
  <c r="G38" i="7"/>
  <c r="N33" i="7" s="1"/>
  <c r="F42" i="7"/>
  <c r="G42" i="7"/>
  <c r="F43" i="7"/>
  <c r="G43" i="7" s="1"/>
  <c r="F44" i="7"/>
  <c r="G44" i="7"/>
  <c r="F45" i="7"/>
  <c r="G45" i="7"/>
  <c r="M45" i="7" s="1"/>
  <c r="O45" i="7" s="1"/>
  <c r="F46" i="7"/>
  <c r="G46" i="7" s="1"/>
  <c r="F47" i="7"/>
  <c r="G47" i="7" s="1"/>
  <c r="N42" i="7" s="1"/>
  <c r="F48" i="7"/>
  <c r="G48" i="7"/>
  <c r="F49" i="7"/>
  <c r="G49" i="7" s="1"/>
  <c r="M44" i="7" s="1"/>
  <c r="O44" i="7" s="1"/>
  <c r="F50" i="7"/>
  <c r="G50" i="7"/>
  <c r="F51" i="7"/>
  <c r="G51" i="7" s="1"/>
  <c r="F53" i="7"/>
  <c r="G53" i="7"/>
  <c r="M53" i="7" s="1"/>
  <c r="F54" i="7"/>
  <c r="G54" i="7"/>
  <c r="M54" i="7" s="1"/>
  <c r="O54" i="7" s="1"/>
  <c r="F55" i="7"/>
  <c r="G55" i="7" s="1"/>
  <c r="F56" i="7"/>
  <c r="G56" i="7" s="1"/>
  <c r="F57" i="7"/>
  <c r="G57" i="7"/>
  <c r="N57" i="7" s="1"/>
  <c r="F58" i="7"/>
  <c r="G58" i="7"/>
  <c r="F59" i="7"/>
  <c r="G59" i="7" s="1"/>
  <c r="F60" i="7"/>
  <c r="G60" i="7"/>
  <c r="F61" i="7"/>
  <c r="G61" i="7" s="1"/>
  <c r="F62" i="7"/>
  <c r="G62" i="7"/>
  <c r="M57" i="7" s="1"/>
  <c r="O57" i="7" s="1"/>
  <c r="A20" i="8" l="1"/>
  <c r="B20" i="8" s="1"/>
  <c r="C18" i="8" s="1"/>
  <c r="D18" i="8" s="1"/>
  <c r="C10" i="8"/>
  <c r="M55" i="7"/>
  <c r="O55" i="7" s="1"/>
  <c r="N55" i="7"/>
  <c r="M46" i="7"/>
  <c r="O46" i="7" s="1"/>
  <c r="N46" i="7"/>
  <c r="M56" i="7"/>
  <c r="O56" i="7" s="1"/>
  <c r="N56" i="7"/>
  <c r="N44" i="7"/>
  <c r="P32" i="7"/>
  <c r="N43" i="7"/>
  <c r="M43" i="7"/>
  <c r="O43" i="7" s="1"/>
  <c r="P19" i="7" s="1"/>
  <c r="M42" i="7"/>
  <c r="O42" i="7" s="1"/>
  <c r="P33" i="7"/>
  <c r="P31" i="7"/>
  <c r="P22" i="7"/>
  <c r="P20" i="7"/>
  <c r="M18" i="7"/>
  <c r="O18" i="7" s="1"/>
  <c r="N18" i="7"/>
  <c r="N54" i="7"/>
  <c r="N53" i="7"/>
  <c r="N45" i="7"/>
  <c r="N32" i="7"/>
  <c r="N30" i="7"/>
  <c r="N21" i="7"/>
  <c r="N19" i="7"/>
  <c r="K10" i="5"/>
  <c r="K9" i="5"/>
  <c r="K7" i="5"/>
  <c r="C11" i="8" l="1"/>
  <c r="A23" i="8"/>
  <c r="B23" i="8" s="1"/>
  <c r="P18" i="7"/>
  <c r="A24" i="8" l="1"/>
  <c r="B24" i="8" s="1"/>
  <c r="C25" i="8" s="1"/>
  <c r="D25" i="8" s="1"/>
  <c r="C12" i="8"/>
  <c r="G4" i="3"/>
  <c r="G5" i="3"/>
  <c r="H5" i="3"/>
  <c r="I5" i="3"/>
  <c r="G6" i="3"/>
  <c r="H6" i="3"/>
  <c r="I6" i="3"/>
  <c r="G7" i="3"/>
  <c r="H7" i="3"/>
  <c r="I7" i="3"/>
  <c r="G8" i="3"/>
  <c r="H8" i="3"/>
  <c r="I8" i="3"/>
  <c r="G9" i="3"/>
  <c r="H9" i="3"/>
  <c r="I9" i="3"/>
  <c r="G10" i="3"/>
  <c r="G11" i="3"/>
  <c r="H11" i="3"/>
  <c r="I11" i="3"/>
  <c r="G12" i="3"/>
  <c r="H12" i="3"/>
  <c r="I12" i="3"/>
  <c r="G13" i="3"/>
  <c r="H13" i="3"/>
  <c r="I13" i="3"/>
  <c r="G14" i="3"/>
  <c r="H14" i="3"/>
  <c r="I14" i="3"/>
  <c r="G15" i="3"/>
  <c r="H15" i="3"/>
  <c r="I15" i="3"/>
  <c r="I11" i="1"/>
  <c r="I12" i="1"/>
  <c r="I17" i="1"/>
  <c r="I19" i="1"/>
  <c r="I20" i="1"/>
  <c r="I34" i="1"/>
  <c r="I35" i="1"/>
  <c r="I36" i="1"/>
  <c r="I40" i="1"/>
  <c r="I41" i="1"/>
  <c r="O41" i="1"/>
  <c r="O40" i="1"/>
  <c r="O36" i="1"/>
  <c r="O35" i="1"/>
  <c r="O34" i="1"/>
  <c r="O20" i="1"/>
  <c r="O19" i="1"/>
  <c r="O17" i="1"/>
  <c r="O12" i="1"/>
  <c r="U3" i="1"/>
  <c r="U4" i="1" s="1"/>
  <c r="U5" i="1" s="1"/>
  <c r="U6" i="1" s="1"/>
  <c r="U7" i="1" s="1"/>
  <c r="U8" i="1" s="1"/>
  <c r="U9" i="1" s="1"/>
  <c r="U10" i="1" s="1"/>
  <c r="U11" i="1" s="1"/>
  <c r="U12" i="1" s="1"/>
  <c r="T6" i="1"/>
  <c r="V6" i="1" s="1"/>
  <c r="W6" i="1" s="1"/>
  <c r="T4" i="1"/>
  <c r="V4" i="1" s="1"/>
  <c r="W4" i="1" s="1"/>
  <c r="T3" i="1"/>
  <c r="V3" i="1" s="1"/>
  <c r="W3" i="1" s="1"/>
  <c r="S3" i="1"/>
  <c r="X3" i="1" s="1"/>
  <c r="T41" i="1"/>
  <c r="S41" i="1"/>
  <c r="T40" i="1"/>
  <c r="S40" i="1"/>
  <c r="T39" i="1"/>
  <c r="V39" i="1"/>
  <c r="W39" i="1" s="1"/>
  <c r="S39" i="1"/>
  <c r="T38" i="1"/>
  <c r="V38" i="1" s="1"/>
  <c r="W38" i="1" s="1"/>
  <c r="S38" i="1"/>
  <c r="X39" i="1" s="1"/>
  <c r="T37" i="1"/>
  <c r="V37" i="1" s="1"/>
  <c r="W37" i="1" s="1"/>
  <c r="S37" i="1"/>
  <c r="T36" i="1"/>
  <c r="S36" i="1"/>
  <c r="T35" i="1"/>
  <c r="S35" i="1"/>
  <c r="T34" i="1"/>
  <c r="S34" i="1"/>
  <c r="X35" i="1" s="1"/>
  <c r="T33" i="1"/>
  <c r="V33" i="1" s="1"/>
  <c r="W33" i="1" s="1"/>
  <c r="S33" i="1"/>
  <c r="T32" i="1"/>
  <c r="V32" i="1" s="1"/>
  <c r="W32" i="1" s="1"/>
  <c r="S32" i="1"/>
  <c r="T31" i="1"/>
  <c r="V31" i="1" s="1"/>
  <c r="W31" i="1" s="1"/>
  <c r="S31" i="1"/>
  <c r="T30" i="1"/>
  <c r="V30" i="1" s="1"/>
  <c r="W30" i="1" s="1"/>
  <c r="S30" i="1"/>
  <c r="T29" i="1"/>
  <c r="V29" i="1" s="1"/>
  <c r="W29" i="1" s="1"/>
  <c r="S29" i="1"/>
  <c r="T28" i="1"/>
  <c r="V28" i="1" s="1"/>
  <c r="W28" i="1" s="1"/>
  <c r="S28" i="1"/>
  <c r="T27" i="1"/>
  <c r="V27" i="1" s="1"/>
  <c r="S27" i="1"/>
  <c r="G27" i="1"/>
  <c r="T26" i="1"/>
  <c r="V26" i="1" s="1"/>
  <c r="S26" i="1"/>
  <c r="X26" i="1" s="1"/>
  <c r="G26" i="1"/>
  <c r="U26" i="1" s="1"/>
  <c r="G25" i="1"/>
  <c r="T23" i="1"/>
  <c r="V23" i="1" s="1"/>
  <c r="W23" i="1" s="1"/>
  <c r="S23" i="1"/>
  <c r="T22" i="1"/>
  <c r="V22" i="1" s="1"/>
  <c r="W22" i="1" s="1"/>
  <c r="S22" i="1"/>
  <c r="T21" i="1"/>
  <c r="V21" i="1" s="1"/>
  <c r="W21" i="1" s="1"/>
  <c r="S21" i="1"/>
  <c r="T20" i="1"/>
  <c r="L20" i="1" s="1"/>
  <c r="Q20" i="1" s="1"/>
  <c r="S20" i="1"/>
  <c r="T19" i="1"/>
  <c r="L19" i="1" s="1"/>
  <c r="Q19" i="1" s="1"/>
  <c r="S19" i="1"/>
  <c r="T18" i="1"/>
  <c r="V18" i="1" s="1"/>
  <c r="W18" i="1" s="1"/>
  <c r="S18" i="1"/>
  <c r="T17" i="1"/>
  <c r="L17" i="1" s="1"/>
  <c r="Q17" i="1" s="1"/>
  <c r="S17" i="1"/>
  <c r="T16" i="1"/>
  <c r="V16" i="1" s="1"/>
  <c r="W16" i="1" s="1"/>
  <c r="S16" i="1"/>
  <c r="T15" i="1"/>
  <c r="V15" i="1" s="1"/>
  <c r="W15" i="1" s="1"/>
  <c r="S15" i="1"/>
  <c r="U14" i="1"/>
  <c r="U15" i="1" s="1"/>
  <c r="U16" i="1" s="1"/>
  <c r="U17" i="1" s="1"/>
  <c r="U18" i="1" s="1"/>
  <c r="U19" i="1" s="1"/>
  <c r="U20" i="1" s="1"/>
  <c r="U21" i="1" s="1"/>
  <c r="U22" i="1" s="1"/>
  <c r="U23" i="1" s="1"/>
  <c r="T14" i="1"/>
  <c r="V14" i="1" s="1"/>
  <c r="S14" i="1"/>
  <c r="X14" i="1" s="1"/>
  <c r="T12" i="1"/>
  <c r="L12" i="1" s="1"/>
  <c r="Q12" i="1" s="1"/>
  <c r="S12" i="1"/>
  <c r="T11" i="1"/>
  <c r="L11" i="1" s="1"/>
  <c r="Q11" i="1" s="1"/>
  <c r="S11" i="1"/>
  <c r="T10" i="1"/>
  <c r="V10" i="1" s="1"/>
  <c r="W10" i="1" s="1"/>
  <c r="S10" i="1"/>
  <c r="T9" i="1"/>
  <c r="V9" i="1" s="1"/>
  <c r="W9" i="1" s="1"/>
  <c r="S9" i="1"/>
  <c r="T8" i="1"/>
  <c r="V8" i="1" s="1"/>
  <c r="W8" i="1" s="1"/>
  <c r="S8" i="1"/>
  <c r="T7" i="1"/>
  <c r="V7" i="1" s="1"/>
  <c r="W7" i="1" s="1"/>
  <c r="S7" i="1"/>
  <c r="S6" i="1"/>
  <c r="T5" i="1"/>
  <c r="V5" i="1" s="1"/>
  <c r="W5" i="1" s="1"/>
  <c r="S5" i="1"/>
  <c r="S4" i="1"/>
  <c r="V11" i="1"/>
  <c r="W11" i="1" s="1"/>
  <c r="N34" i="1"/>
  <c r="P34" i="1" s="1"/>
  <c r="V40" i="1"/>
  <c r="W40" i="1" s="1"/>
  <c r="N36" i="1"/>
  <c r="P36" i="1" s="1"/>
  <c r="V17" i="1"/>
  <c r="W17" i="1" s="1"/>
  <c r="N17" i="1"/>
  <c r="P17" i="1" s="1"/>
  <c r="X34" i="1"/>
  <c r="X40" i="1"/>
  <c r="X21" i="1"/>
  <c r="X17" i="1" l="1"/>
  <c r="X22" i="1"/>
  <c r="Y22" i="1" s="1"/>
  <c r="Z22" i="1" s="1"/>
  <c r="AA22" i="1" s="1"/>
  <c r="X4" i="1"/>
  <c r="Q44" i="1"/>
  <c r="Q43" i="1"/>
  <c r="N35" i="1"/>
  <c r="P35" i="1" s="1"/>
  <c r="L35" i="1"/>
  <c r="Q35" i="1" s="1"/>
  <c r="V41" i="1"/>
  <c r="W41" i="1" s="1"/>
  <c r="L41" i="1"/>
  <c r="Q41" i="1" s="1"/>
  <c r="V34" i="1"/>
  <c r="W34" i="1" s="1"/>
  <c r="L34" i="1"/>
  <c r="Q34" i="1" s="1"/>
  <c r="V36" i="1"/>
  <c r="W36" i="1" s="1"/>
  <c r="L36" i="1"/>
  <c r="Q36" i="1" s="1"/>
  <c r="N40" i="1"/>
  <c r="P40" i="1" s="1"/>
  <c r="L40" i="1"/>
  <c r="Q40" i="1" s="1"/>
  <c r="V35" i="1"/>
  <c r="W35" i="1" s="1"/>
  <c r="X7" i="1"/>
  <c r="Y7" i="1" s="1"/>
  <c r="Z7" i="1" s="1"/>
  <c r="AB7" i="1" s="1"/>
  <c r="AC7" i="1" s="1"/>
  <c r="Y26" i="1"/>
  <c r="Z26" i="1" s="1"/>
  <c r="AB26" i="1" s="1"/>
  <c r="AC26" i="1" s="1"/>
  <c r="X27" i="1"/>
  <c r="Y27" i="1" s="1"/>
  <c r="Z27" i="1" s="1"/>
  <c r="AA27" i="1" s="1"/>
  <c r="Y39" i="1"/>
  <c r="Z39" i="1" s="1"/>
  <c r="AA39" i="1" s="1"/>
  <c r="X6" i="1"/>
  <c r="Y6" i="1" s="1"/>
  <c r="Z6" i="1" s="1"/>
  <c r="AB6" i="1" s="1"/>
  <c r="AC6" i="1" s="1"/>
  <c r="X19" i="1"/>
  <c r="X20" i="1"/>
  <c r="W26" i="1"/>
  <c r="AB22" i="1"/>
  <c r="AC22" i="1" s="1"/>
  <c r="N41" i="1"/>
  <c r="P41" i="1" s="1"/>
  <c r="N12" i="1"/>
  <c r="P12" i="1" s="1"/>
  <c r="Y17" i="1"/>
  <c r="Z17" i="1" s="1"/>
  <c r="AA17" i="1" s="1"/>
  <c r="X18" i="1"/>
  <c r="Y18" i="1" s="1"/>
  <c r="Z18" i="1" s="1"/>
  <c r="V12" i="1"/>
  <c r="W12" i="1" s="1"/>
  <c r="X10" i="1"/>
  <c r="W27" i="1"/>
  <c r="X33" i="1"/>
  <c r="Y33" i="1" s="1"/>
  <c r="Z33" i="1" s="1"/>
  <c r="X28" i="1"/>
  <c r="Y28" i="1" s="1"/>
  <c r="Z28" i="1" s="1"/>
  <c r="X38" i="1"/>
  <c r="Y38" i="1" s="1"/>
  <c r="Z38" i="1" s="1"/>
  <c r="N20" i="1"/>
  <c r="P20" i="1" s="1"/>
  <c r="Y35" i="1"/>
  <c r="Z35" i="1" s="1"/>
  <c r="AB35" i="1" s="1"/>
  <c r="AC35" i="1" s="1"/>
  <c r="X5" i="1"/>
  <c r="Y5" i="1" s="1"/>
  <c r="Z5" i="1" s="1"/>
  <c r="X11" i="1"/>
  <c r="Y11" i="1" s="1"/>
  <c r="Z11" i="1" s="1"/>
  <c r="X9" i="1"/>
  <c r="N11" i="1"/>
  <c r="P11" i="1" s="1"/>
  <c r="V19" i="1"/>
  <c r="W19" i="1" s="1"/>
  <c r="X29" i="1"/>
  <c r="Y29" i="1" s="1"/>
  <c r="Z29" i="1" s="1"/>
  <c r="AB29" i="1" s="1"/>
  <c r="AC29" i="1" s="1"/>
  <c r="X41" i="1"/>
  <c r="Y41" i="1" s="1"/>
  <c r="Z41" i="1" s="1"/>
  <c r="V20" i="1"/>
  <c r="X15" i="1"/>
  <c r="Y15" i="1" s="1"/>
  <c r="Z15" i="1" s="1"/>
  <c r="W14" i="1"/>
  <c r="Y14" i="1"/>
  <c r="Z14" i="1" s="1"/>
  <c r="AA14" i="1" s="1"/>
  <c r="AA7" i="1"/>
  <c r="X12" i="1"/>
  <c r="X32" i="1"/>
  <c r="Y32" i="1" s="1"/>
  <c r="Z32" i="1" s="1"/>
  <c r="AB32" i="1" s="1"/>
  <c r="AC32" i="1" s="1"/>
  <c r="Y21" i="1"/>
  <c r="Z21" i="1" s="1"/>
  <c r="AA21" i="1" s="1"/>
  <c r="N19" i="1"/>
  <c r="P19" i="1" s="1"/>
  <c r="Y3" i="1"/>
  <c r="Z3" i="1" s="1"/>
  <c r="X31" i="1"/>
  <c r="Y31" i="1" s="1"/>
  <c r="Z31" i="1" s="1"/>
  <c r="AA31" i="1" s="1"/>
  <c r="X16" i="1"/>
  <c r="Y16" i="1" s="1"/>
  <c r="Z16" i="1" s="1"/>
  <c r="X8" i="1"/>
  <c r="Y8" i="1" s="1"/>
  <c r="Z8" i="1" s="1"/>
  <c r="AA8" i="1" s="1"/>
  <c r="AA26" i="1"/>
  <c r="AA29" i="1"/>
  <c r="AB31" i="1"/>
  <c r="AC31" i="1" s="1"/>
  <c r="AA33" i="1"/>
  <c r="AB33" i="1"/>
  <c r="AC33" i="1" s="1"/>
  <c r="AB8" i="1"/>
  <c r="AC8" i="1" s="1"/>
  <c r="Y10" i="1"/>
  <c r="Z10" i="1" s="1"/>
  <c r="X30" i="1"/>
  <c r="Y30" i="1" s="1"/>
  <c r="Z30" i="1" s="1"/>
  <c r="AB39" i="1"/>
  <c r="AC39" i="1" s="1"/>
  <c r="U27" i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Y40" i="1"/>
  <c r="Z40" i="1" s="1"/>
  <c r="Y4" i="1"/>
  <c r="Z4" i="1" s="1"/>
  <c r="Y9" i="1"/>
  <c r="Z9" i="1" s="1"/>
  <c r="X23" i="1"/>
  <c r="Y23" i="1" s="1"/>
  <c r="Z23" i="1" s="1"/>
  <c r="X36" i="1"/>
  <c r="Y36" i="1" s="1"/>
  <c r="Z36" i="1" s="1"/>
  <c r="X37" i="1"/>
  <c r="Y37" i="1" s="1"/>
  <c r="Z37" i="1" s="1"/>
  <c r="AA35" i="1" l="1"/>
  <c r="P46" i="1"/>
  <c r="P43" i="1"/>
  <c r="P44" i="1"/>
  <c r="Y12" i="1"/>
  <c r="Z12" i="1" s="1"/>
  <c r="AA12" i="1" s="1"/>
  <c r="P45" i="1"/>
  <c r="Y34" i="1"/>
  <c r="Z34" i="1" s="1"/>
  <c r="Q46" i="1"/>
  <c r="Q45" i="1"/>
  <c r="AA15" i="1"/>
  <c r="AB15" i="1"/>
  <c r="AC15" i="1" s="1"/>
  <c r="AB27" i="1"/>
  <c r="AC27" i="1" s="1"/>
  <c r="AB14" i="1"/>
  <c r="AC14" i="1" s="1"/>
  <c r="AB21" i="1"/>
  <c r="AC21" i="1" s="1"/>
  <c r="AB38" i="1"/>
  <c r="AC38" i="1" s="1"/>
  <c r="AA38" i="1"/>
  <c r="AB17" i="1"/>
  <c r="AC17" i="1" s="1"/>
  <c r="AB12" i="1"/>
  <c r="AC12" i="1" s="1"/>
  <c r="Y19" i="1"/>
  <c r="Z19" i="1" s="1"/>
  <c r="AA18" i="1"/>
  <c r="AB18" i="1"/>
  <c r="AC18" i="1" s="1"/>
  <c r="AB28" i="1"/>
  <c r="AC28" i="1" s="1"/>
  <c r="AA28" i="1"/>
  <c r="AB11" i="1"/>
  <c r="AC11" i="1" s="1"/>
  <c r="AA11" i="1"/>
  <c r="W20" i="1"/>
  <c r="Y20" i="1"/>
  <c r="Z20" i="1" s="1"/>
  <c r="AB5" i="1"/>
  <c r="AC5" i="1" s="1"/>
  <c r="AA5" i="1"/>
  <c r="AB3" i="1"/>
  <c r="AC3" i="1" s="1"/>
  <c r="AA3" i="1"/>
  <c r="AB34" i="1"/>
  <c r="AC34" i="1" s="1"/>
  <c r="AA34" i="1"/>
  <c r="AA32" i="1"/>
  <c r="AB30" i="1"/>
  <c r="AC30" i="1" s="1"/>
  <c r="AA30" i="1"/>
  <c r="AB36" i="1"/>
  <c r="AC36" i="1" s="1"/>
  <c r="AA36" i="1"/>
  <c r="AA4" i="1"/>
  <c r="AB4" i="1"/>
  <c r="AC4" i="1" s="1"/>
  <c r="AA10" i="1"/>
  <c r="AB10" i="1"/>
  <c r="AC10" i="1" s="1"/>
  <c r="AA37" i="1"/>
  <c r="AB37" i="1"/>
  <c r="AC37" i="1" s="1"/>
  <c r="AA23" i="1"/>
  <c r="AB23" i="1"/>
  <c r="AC23" i="1" s="1"/>
  <c r="AB16" i="1"/>
  <c r="AC16" i="1" s="1"/>
  <c r="AA16" i="1"/>
  <c r="AB40" i="1"/>
  <c r="AC40" i="1" s="1"/>
  <c r="AA40" i="1"/>
  <c r="AB41" i="1"/>
  <c r="AC41" i="1" s="1"/>
  <c r="AA41" i="1"/>
  <c r="AB9" i="1"/>
  <c r="AC9" i="1" s="1"/>
  <c r="AA9" i="1"/>
  <c r="AB19" i="1" l="1"/>
  <c r="AC19" i="1" s="1"/>
  <c r="AA19" i="1"/>
  <c r="AA20" i="1"/>
  <c r="AB20" i="1"/>
  <c r="AC20" i="1" s="1"/>
  <c r="D4" i="2"/>
  <c r="C4" i="2"/>
  <c r="F4" i="2"/>
  <c r="E4" i="2"/>
  <c r="F3" i="2" l="1"/>
  <c r="E3" i="2"/>
  <c r="D3" i="2"/>
  <c r="C3" i="2"/>
</calcChain>
</file>

<file path=xl/sharedStrings.xml><?xml version="1.0" encoding="utf-8"?>
<sst xmlns="http://schemas.openxmlformats.org/spreadsheetml/2006/main" count="351" uniqueCount="208">
  <si>
    <t>Reactor</t>
  </si>
  <si>
    <t>Date and Time</t>
  </si>
  <si>
    <t>A600</t>
  </si>
  <si>
    <t>pH</t>
  </si>
  <si>
    <t>Temp 'C (digi)</t>
  </si>
  <si>
    <t>Gas P (psig)</t>
  </si>
  <si>
    <t>Reactor Volume</t>
  </si>
  <si>
    <t>Time Elapsed (Days)</t>
  </si>
  <si>
    <t>Sample Collection Interval (days)</t>
  </si>
  <si>
    <t>turnovers to date</t>
  </si>
  <si>
    <r>
      <t>j</t>
    </r>
    <r>
      <rPr>
        <b/>
        <i/>
        <vertAlign val="subscript"/>
        <sz val="10"/>
        <rFont val="Trebuchet MS"/>
        <family val="2"/>
      </rPr>
      <t>o</t>
    </r>
    <r>
      <rPr>
        <b/>
        <i/>
        <sz val="10"/>
        <rFont val="Trebuchet MS"/>
        <family val="2"/>
      </rPr>
      <t xml:space="preserve"> (l/hr)</t>
    </r>
  </si>
  <si>
    <r>
      <t>D (per hour) = j</t>
    </r>
    <r>
      <rPr>
        <b/>
        <i/>
        <vertAlign val="subscript"/>
        <sz val="10"/>
        <rFont val="Trebuchet MS"/>
        <family val="2"/>
      </rPr>
      <t>o</t>
    </r>
    <r>
      <rPr>
        <b/>
        <i/>
        <sz val="10"/>
        <rFont val="Trebuchet MS"/>
        <family val="2"/>
      </rPr>
      <t xml:space="preserve">/V </t>
    </r>
  </si>
  <si>
    <t>dC/dt</t>
  </si>
  <si>
    <r>
      <t>r</t>
    </r>
    <r>
      <rPr>
        <b/>
        <i/>
        <vertAlign val="subscript"/>
        <sz val="10"/>
        <rFont val="Trebuchet MS"/>
        <family val="2"/>
      </rPr>
      <t>g</t>
    </r>
    <r>
      <rPr>
        <b/>
        <i/>
        <sz val="10"/>
        <rFont val="Trebuchet MS"/>
        <family val="2"/>
      </rPr>
      <t xml:space="preserve"> (for all V)</t>
    </r>
  </si>
  <si>
    <t>mu (per hour)</t>
  </si>
  <si>
    <t>Doubling time (days)</t>
  </si>
  <si>
    <t>(mu) - (D)</t>
  </si>
  <si>
    <t>% from SS</t>
  </si>
  <si>
    <t>Sampling Time Point</t>
  </si>
  <si>
    <t>DvH_WT</t>
  </si>
  <si>
    <t>-</t>
  </si>
  <si>
    <t>T1</t>
  </si>
  <si>
    <t>T2</t>
  </si>
  <si>
    <t>T3</t>
  </si>
  <si>
    <t>T4</t>
  </si>
  <si>
    <t>T5</t>
  </si>
  <si>
    <t>Strain</t>
  </si>
  <si>
    <t>WT</t>
  </si>
  <si>
    <t>IPFG_07</t>
  </si>
  <si>
    <t>IPFG07</t>
  </si>
  <si>
    <t>y = 9E+11x - 9E+09</t>
  </si>
  <si>
    <t>R² = 0.95954</t>
  </si>
  <si>
    <t>Liq. Trap L (from reactor)</t>
  </si>
  <si>
    <t>H2S/vol (mmol / L)</t>
  </si>
  <si>
    <t>cells/L (calc)</t>
  </si>
  <si>
    <t>OD to Cell Count Conversion for DvH:</t>
  </si>
  <si>
    <t>07_avg</t>
  </si>
  <si>
    <t>07_StdDev</t>
  </si>
  <si>
    <t>WT_avg</t>
  </si>
  <si>
    <t>WT_StdDev</t>
  </si>
  <si>
    <t>Detailes on Chemostat_Summary sheet</t>
  </si>
  <si>
    <t>Isotope Data Summary</t>
  </si>
  <si>
    <r>
      <t>Isotope value in ‰. All 𝛅</t>
    </r>
    <r>
      <rPr>
        <vertAlign val="superscript"/>
        <sz val="12"/>
        <color theme="1"/>
        <rFont val="Helvetica"/>
        <family val="2"/>
      </rPr>
      <t>34</t>
    </r>
    <r>
      <rPr>
        <sz val="12"/>
        <color theme="1"/>
        <rFont val="Helvetica"/>
        <family val="2"/>
      </rPr>
      <t>S vs. V-CDT; M1 and M2 refer to technical replicate measurements.</t>
    </r>
  </si>
  <si>
    <t>07_t5</t>
  </si>
  <si>
    <t>07_t4</t>
  </si>
  <si>
    <t>07_t3</t>
  </si>
  <si>
    <t>07_t2</t>
  </si>
  <si>
    <t>07_t1</t>
  </si>
  <si>
    <t>07_in</t>
  </si>
  <si>
    <t>WT_t5</t>
  </si>
  <si>
    <t>WT_t4</t>
  </si>
  <si>
    <t>WT_t3</t>
  </si>
  <si>
    <t>WT_t2</t>
  </si>
  <si>
    <t>WT_t1</t>
  </si>
  <si>
    <t>WT_in</t>
  </si>
  <si>
    <r>
      <rPr>
        <b/>
        <vertAlign val="superscript"/>
        <sz val="12"/>
        <color theme="1"/>
        <rFont val="Helvetica"/>
        <family val="2"/>
      </rPr>
      <t>34</t>
    </r>
    <r>
      <rPr>
        <b/>
        <sz val="12"/>
        <color theme="1"/>
        <rFont val="Helvetica"/>
        <family val="2"/>
      </rPr>
      <t>ε</t>
    </r>
    <r>
      <rPr>
        <b/>
        <vertAlign val="subscript"/>
        <sz val="12"/>
        <color theme="1"/>
        <rFont val="Helvetica"/>
        <family val="2"/>
      </rPr>
      <t>BaSO4/Ag2S</t>
    </r>
  </si>
  <si>
    <r>
      <t>Avg 𝛅</t>
    </r>
    <r>
      <rPr>
        <b/>
        <vertAlign val="superscript"/>
        <sz val="12"/>
        <color theme="1"/>
        <rFont val="Helvetica"/>
        <family val="2"/>
      </rPr>
      <t>34</t>
    </r>
    <r>
      <rPr>
        <b/>
        <sz val="12"/>
        <color theme="1"/>
        <rFont val="Helvetica"/>
        <family val="2"/>
      </rPr>
      <t>S</t>
    </r>
    <r>
      <rPr>
        <b/>
        <vertAlign val="subscript"/>
        <sz val="12"/>
        <color theme="1"/>
        <rFont val="Helvetica"/>
        <family val="2"/>
      </rPr>
      <t>Ag2S</t>
    </r>
  </si>
  <si>
    <r>
      <t>Avg 𝛅</t>
    </r>
    <r>
      <rPr>
        <b/>
        <vertAlign val="superscript"/>
        <sz val="12"/>
        <color theme="1"/>
        <rFont val="Helvetica"/>
        <family val="2"/>
      </rPr>
      <t>34</t>
    </r>
    <r>
      <rPr>
        <b/>
        <sz val="12"/>
        <color theme="1"/>
        <rFont val="Helvetica"/>
        <family val="2"/>
      </rPr>
      <t>S</t>
    </r>
    <r>
      <rPr>
        <b/>
        <vertAlign val="subscript"/>
        <sz val="12"/>
        <color theme="1"/>
        <rFont val="Helvetica"/>
        <family val="2"/>
      </rPr>
      <t>BaSO4</t>
    </r>
  </si>
  <si>
    <r>
      <t>M2 𝛅</t>
    </r>
    <r>
      <rPr>
        <b/>
        <vertAlign val="superscript"/>
        <sz val="12"/>
        <color theme="1"/>
        <rFont val="Helvetica"/>
        <family val="2"/>
      </rPr>
      <t>34</t>
    </r>
    <r>
      <rPr>
        <b/>
        <sz val="12"/>
        <color theme="1"/>
        <rFont val="Helvetica"/>
        <family val="2"/>
      </rPr>
      <t>S</t>
    </r>
    <r>
      <rPr>
        <b/>
        <vertAlign val="subscript"/>
        <sz val="12"/>
        <color theme="1"/>
        <rFont val="Helvetica"/>
        <family val="2"/>
      </rPr>
      <t>Ag2S</t>
    </r>
  </si>
  <si>
    <r>
      <t>M1 𝛅</t>
    </r>
    <r>
      <rPr>
        <b/>
        <vertAlign val="superscript"/>
        <sz val="12"/>
        <color theme="1"/>
        <rFont val="Helvetica"/>
        <family val="2"/>
      </rPr>
      <t>34</t>
    </r>
    <r>
      <rPr>
        <b/>
        <sz val="12"/>
        <color theme="1"/>
        <rFont val="Helvetica"/>
        <family val="2"/>
      </rPr>
      <t>S</t>
    </r>
    <r>
      <rPr>
        <b/>
        <vertAlign val="subscript"/>
        <sz val="12"/>
        <color theme="1"/>
        <rFont val="Helvetica"/>
        <family val="2"/>
      </rPr>
      <t>Ag2S</t>
    </r>
  </si>
  <si>
    <r>
      <t>M2 𝛅</t>
    </r>
    <r>
      <rPr>
        <b/>
        <vertAlign val="superscript"/>
        <sz val="12"/>
        <color theme="1"/>
        <rFont val="Helvetica"/>
        <family val="2"/>
      </rPr>
      <t>34</t>
    </r>
    <r>
      <rPr>
        <b/>
        <sz val="12"/>
        <color theme="1"/>
        <rFont val="Helvetica"/>
        <family val="2"/>
      </rPr>
      <t>S</t>
    </r>
    <r>
      <rPr>
        <b/>
        <vertAlign val="subscript"/>
        <sz val="12"/>
        <color theme="1"/>
        <rFont val="Helvetica"/>
        <family val="2"/>
      </rPr>
      <t>BaSO4</t>
    </r>
  </si>
  <si>
    <r>
      <t>M1 𝛅</t>
    </r>
    <r>
      <rPr>
        <b/>
        <vertAlign val="superscript"/>
        <sz val="12"/>
        <color theme="1"/>
        <rFont val="Helvetica"/>
        <family val="2"/>
      </rPr>
      <t>34</t>
    </r>
    <r>
      <rPr>
        <b/>
        <sz val="12"/>
        <color theme="1"/>
        <rFont val="Helvetica"/>
        <family val="2"/>
      </rPr>
      <t>S</t>
    </r>
    <r>
      <rPr>
        <b/>
        <vertAlign val="subscript"/>
        <sz val="12"/>
        <color theme="1"/>
        <rFont val="Helvetica"/>
        <family val="2"/>
      </rPr>
      <t>BaSO4</t>
    </r>
  </si>
  <si>
    <t>Time Point</t>
  </si>
  <si>
    <t>Strain ID</t>
  </si>
  <si>
    <t>Strain description</t>
  </si>
  <si>
    <t>Wildtype (WT)</t>
  </si>
  <si>
    <r>
      <t>D. vulgaris</t>
    </r>
    <r>
      <rPr>
        <sz val="12"/>
        <color theme="1"/>
        <rFont val="Arial"/>
        <family val="2"/>
      </rPr>
      <t xml:space="preserve"> subsp. </t>
    </r>
    <r>
      <rPr>
        <i/>
        <sz val="12"/>
        <color theme="1"/>
        <rFont val="Arial"/>
        <family val="2"/>
      </rPr>
      <t>vulgaris</t>
    </r>
    <r>
      <rPr>
        <sz val="12"/>
        <color theme="1"/>
        <rFont val="Arial"/>
        <family val="2"/>
      </rPr>
      <t xml:space="preserve"> DSM 655</t>
    </r>
    <r>
      <rPr>
        <vertAlign val="superscript"/>
        <sz val="12"/>
        <color theme="1"/>
        <rFont val="Arial"/>
        <family val="2"/>
      </rPr>
      <t>T</t>
    </r>
  </si>
  <si>
    <t>IPFG06</t>
  </si>
  <si>
    <t>WT + plasmid DsrC</t>
  </si>
  <si>
    <r>
      <t>∆</t>
    </r>
    <r>
      <rPr>
        <i/>
        <sz val="12"/>
        <color theme="1"/>
        <rFont val="Arial"/>
        <family val="2"/>
      </rPr>
      <t>dsrC</t>
    </r>
    <r>
      <rPr>
        <sz val="12"/>
        <color theme="1"/>
        <rFont val="Arial"/>
        <family val="2"/>
      </rPr>
      <t xml:space="preserve"> +   plasmid DsrC</t>
    </r>
  </si>
  <si>
    <t>IPFG09</t>
  </si>
  <si>
    <r>
      <t>∆</t>
    </r>
    <r>
      <rPr>
        <i/>
        <sz val="12"/>
        <color theme="1"/>
        <rFont val="Arial"/>
        <family val="2"/>
      </rPr>
      <t>dsrC</t>
    </r>
    <r>
      <rPr>
        <sz val="12"/>
        <color theme="1"/>
        <rFont val="Arial"/>
        <family val="2"/>
      </rPr>
      <t xml:space="preserve"> +   plasmid DsrC with Cys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mutation</t>
    </r>
  </si>
  <si>
    <r>
      <t>Table S1. Strains cultured in this study in grey.</t>
    </r>
    <r>
      <rPr>
        <sz val="14"/>
        <color theme="1"/>
        <rFont val="Arial"/>
        <family val="2"/>
      </rPr>
      <t> </t>
    </r>
  </si>
  <si>
    <t xml:space="preserve"> Mutants are from Santos et al. (2015).</t>
  </si>
  <si>
    <t xml:space="preserve"> Min: %departure from steady state t1-5</t>
  </si>
  <si>
    <t>csSRR StdDev</t>
  </si>
  <si>
    <t xml:space="preserve">Avg Dilution rate (per day), for t1-5 </t>
  </si>
  <si>
    <t xml:space="preserve">Dilution Rate StdDev (per day) for t1-5 </t>
  </si>
  <si>
    <t>t1</t>
  </si>
  <si>
    <t>t2</t>
  </si>
  <si>
    <t>t3</t>
  </si>
  <si>
    <t>t4</t>
  </si>
  <si>
    <t>t5</t>
  </si>
  <si>
    <t>t5 %SO4 Left</t>
  </si>
  <si>
    <t>via UV</t>
  </si>
  <si>
    <t>via RID</t>
  </si>
  <si>
    <t>&lt; 0.07</t>
  </si>
  <si>
    <t>Max: %departure from steady state t1-5</t>
  </si>
  <si>
    <t>t1-5</t>
  </si>
  <si>
    <t>LACTATE  (mM)</t>
  </si>
  <si>
    <t>SULFATE (mM)</t>
  </si>
  <si>
    <t>LACTATE (mM) UV)</t>
  </si>
  <si>
    <t>Ion Chromatography results</t>
  </si>
  <si>
    <t>From Effluent Liquid Traps (L)</t>
  </si>
  <si>
    <t>From Influent medium (M)</t>
  </si>
  <si>
    <t>07 R t5 B</t>
  </si>
  <si>
    <t>07 R t4 B</t>
  </si>
  <si>
    <t>07 R t3 B</t>
  </si>
  <si>
    <t>07 R t2 B</t>
  </si>
  <si>
    <t>07 R t1 B</t>
  </si>
  <si>
    <t>07 Rea t5</t>
  </si>
  <si>
    <t>07 R t5 A</t>
  </si>
  <si>
    <t>07 Rea t4</t>
  </si>
  <si>
    <t>07 R t4 A</t>
  </si>
  <si>
    <t>07 Rea t3</t>
  </si>
  <si>
    <t>07 R t3 A</t>
  </si>
  <si>
    <t>07 Rea t2</t>
  </si>
  <si>
    <t>07 R t2 A</t>
  </si>
  <si>
    <t>07 Rea t1</t>
  </si>
  <si>
    <t>07 R t1 A</t>
  </si>
  <si>
    <t>WT R t5 B</t>
  </si>
  <si>
    <t>WT R t4 B</t>
  </si>
  <si>
    <t>WT R t3 B</t>
  </si>
  <si>
    <t>WT R t2 B</t>
  </si>
  <si>
    <t>WT R t1 B</t>
  </si>
  <si>
    <t>WT Rea t5</t>
  </si>
  <si>
    <t>WT R t5 A</t>
  </si>
  <si>
    <t>WT Rea t4</t>
  </si>
  <si>
    <t>WT R t4 A</t>
  </si>
  <si>
    <t>WT Rea t3</t>
  </si>
  <si>
    <t>WT R t3 A</t>
  </si>
  <si>
    <t>WT Rea t2</t>
  </si>
  <si>
    <t>WT R t2 A</t>
  </si>
  <si>
    <t>WT Rea t1</t>
  </si>
  <si>
    <t>WT R t1 A</t>
  </si>
  <si>
    <t>Assumes 300mL</t>
  </si>
  <si>
    <t>Stdev</t>
  </si>
  <si>
    <t>Avg Concentration (mM)</t>
  </si>
  <si>
    <t>Sample</t>
  </si>
  <si>
    <t>Reactor samples diluted 15 uL sample: 985 uL deoxygenated MilliQ</t>
  </si>
  <si>
    <t>07 G t5  B</t>
  </si>
  <si>
    <t>07 G t4  B</t>
  </si>
  <si>
    <t>07 G t3  B</t>
  </si>
  <si>
    <t>07 G t2  B</t>
  </si>
  <si>
    <t>07 G t1  B</t>
  </si>
  <si>
    <t>07 Gas t5</t>
  </si>
  <si>
    <t>07 G t5  A</t>
  </si>
  <si>
    <t>07 Gas t4</t>
  </si>
  <si>
    <t>07 G t4  A</t>
  </si>
  <si>
    <t>07 Gas t3</t>
  </si>
  <si>
    <t>07 G t3  A</t>
  </si>
  <si>
    <t>07 Gas t2</t>
  </si>
  <si>
    <t>07 G t2  A</t>
  </si>
  <si>
    <t>07 Gas t1</t>
  </si>
  <si>
    <t>07 G t1  A</t>
  </si>
  <si>
    <t>WT G t5  B</t>
  </si>
  <si>
    <t>WT G t4  B</t>
  </si>
  <si>
    <t>WT G t3  B</t>
  </si>
  <si>
    <t>WT G t2  B</t>
  </si>
  <si>
    <t>WT G t1  B</t>
  </si>
  <si>
    <t>WT Gas t5</t>
  </si>
  <si>
    <t>WT G t5  A</t>
  </si>
  <si>
    <t>WT Gas t4</t>
  </si>
  <si>
    <t>WT G t4  A</t>
  </si>
  <si>
    <t>WT Gas t3</t>
  </si>
  <si>
    <t>WT G t3  A</t>
  </si>
  <si>
    <t>WT Gas t2</t>
  </si>
  <si>
    <t>WT G t2  A</t>
  </si>
  <si>
    <t>WT Gas t1</t>
  </si>
  <si>
    <t>WT G t1 A</t>
  </si>
  <si>
    <t>G+L</t>
  </si>
  <si>
    <t>assumes 100mL trap vol.(mmol)</t>
  </si>
  <si>
    <t>Dilution Corrected Concentration (mM)</t>
  </si>
  <si>
    <t>Concentration (mM)</t>
  </si>
  <si>
    <t>Conc = 0.1519*(Abs670nm) - 0.0019</t>
  </si>
  <si>
    <t>Gas samples diluted 10 uL sample: 990 uL deoxygenated MilliQ</t>
  </si>
  <si>
    <t>out of linear range</t>
  </si>
  <si>
    <t>1 mM B</t>
  </si>
  <si>
    <t>0.25 mM B</t>
  </si>
  <si>
    <t>0.125 mM B</t>
  </si>
  <si>
    <t>0.0625 mM B</t>
  </si>
  <si>
    <t>0.03125 mM B</t>
  </si>
  <si>
    <t>1mM A</t>
  </si>
  <si>
    <t>0.25mM A</t>
  </si>
  <si>
    <t>0.125mM A</t>
  </si>
  <si>
    <t>0.0625mM A</t>
  </si>
  <si>
    <t>0.03125mM A</t>
  </si>
  <si>
    <t>Abs670nm</t>
  </si>
  <si>
    <t>0mM MilliQ</t>
  </si>
  <si>
    <t>Abs 670nm</t>
  </si>
  <si>
    <t>Date and time</t>
  </si>
  <si>
    <t>WT a</t>
  </si>
  <si>
    <t>WT b</t>
  </si>
  <si>
    <t>IPFG07 a</t>
  </si>
  <si>
    <t>IPFG07 b</t>
  </si>
  <si>
    <t>T_d (per hr)</t>
  </si>
  <si>
    <t>T_d (per day)</t>
  </si>
  <si>
    <t>30C. Innoculated from MO medium with 0.1g/l yeast; 30:30 Lact:SO4</t>
  </si>
  <si>
    <t>07_OD600</t>
  </si>
  <si>
    <t>WT_OD600</t>
  </si>
  <si>
    <t>T_hrs</t>
  </si>
  <si>
    <t>Min (D/2)_hrs</t>
  </si>
  <si>
    <t>MAX per  day</t>
  </si>
  <si>
    <t>StdDeV</t>
  </si>
  <si>
    <t>mmols  sulfide produced (G+R)</t>
  </si>
  <si>
    <t>WT Average</t>
  </si>
  <si>
    <t>07 Average</t>
  </si>
  <si>
    <t>WT Consumed</t>
  </si>
  <si>
    <t>Detector</t>
  </si>
  <si>
    <t>07 Consumed</t>
  </si>
  <si>
    <t>mmols SO4 consumed per day</t>
  </si>
  <si>
    <t>mmol's SO4 consumed</t>
  </si>
  <si>
    <t xml:space="preserve">mM SO4 consumed </t>
  </si>
  <si>
    <t>mmols H2S produced per day</t>
  </si>
  <si>
    <t>csSRR from H2S (fmol/cell*day)</t>
  </si>
  <si>
    <t>csSRR from SO4 (fmol/cell*day)</t>
  </si>
  <si>
    <t>csSRR avg.</t>
  </si>
  <si>
    <t>csSRR (fmol S per cell 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</si>
</sst>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0.0"/>
    <numFmt numFmtId="167" formatCode="0.0%"/>
    <numFmt numFmtId="168" formatCode="0.0E+00"/>
    <numFmt numFmtId="169" formatCode="m/d/yy\ h:mm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Trebuchet MS"/>
      <family val="2"/>
    </font>
    <font>
      <b/>
      <i/>
      <vertAlign val="subscript"/>
      <sz val="10"/>
      <name val="Trebuchet MS"/>
      <family val="2"/>
    </font>
    <font>
      <i/>
      <sz val="11"/>
      <color theme="1"/>
      <name val="Calibri"/>
      <family val="2"/>
      <scheme val="minor"/>
    </font>
    <font>
      <i/>
      <sz val="10"/>
      <name val="Trebuchet MS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sto MT"/>
      <family val="1"/>
    </font>
    <font>
      <b/>
      <sz val="11"/>
      <name val="Calibri"/>
      <family val="2"/>
      <scheme val="minor"/>
    </font>
    <font>
      <sz val="12"/>
      <color theme="1"/>
      <name val="Helvetica"/>
      <family val="2"/>
    </font>
    <font>
      <vertAlign val="superscript"/>
      <sz val="12"/>
      <color theme="1"/>
      <name val="Helvetica"/>
      <family val="2"/>
    </font>
    <font>
      <b/>
      <i/>
      <sz val="12"/>
      <color theme="1"/>
      <name val="Helvetica"/>
      <family val="2"/>
    </font>
    <font>
      <b/>
      <sz val="12"/>
      <color theme="1"/>
      <name val="Helvetica"/>
      <family val="2"/>
    </font>
    <font>
      <b/>
      <vertAlign val="superscript"/>
      <sz val="12"/>
      <color theme="1"/>
      <name val="Helvetica"/>
      <family val="2"/>
    </font>
    <font>
      <b/>
      <vertAlign val="subscript"/>
      <sz val="12"/>
      <color theme="1"/>
      <name val="Helvetic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22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9" fontId="8" fillId="0" borderId="0" xfId="1" applyFont="1" applyFill="1" applyBorder="1" applyAlignment="1">
      <alignment horizontal="center" vertical="center"/>
    </xf>
    <xf numFmtId="9" fontId="8" fillId="0" borderId="11" xfId="1" applyFont="1" applyFill="1" applyBorder="1" applyAlignment="1">
      <alignment horizontal="center" vertical="center"/>
    </xf>
    <xf numFmtId="2" fontId="0" fillId="0" borderId="0" xfId="0" applyNumberFormat="1"/>
    <xf numFmtId="167" fontId="6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readingOrder="1"/>
    </xf>
    <xf numFmtId="166" fontId="0" fillId="0" borderId="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22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5" fillId="0" borderId="13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7" fontId="6" fillId="0" borderId="0" xfId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2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22" fontId="0" fillId="0" borderId="0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2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22" fontId="0" fillId="2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164" fontId="0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2" fontId="0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Border="1" applyAlignment="1">
      <alignment horizontal="center" vertical="center"/>
    </xf>
    <xf numFmtId="22" fontId="0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22" fontId="0" fillId="2" borderId="11" xfId="0" applyNumberFormat="1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 vertical="center" wrapText="1"/>
    </xf>
    <xf numFmtId="166" fontId="0" fillId="2" borderId="11" xfId="0" applyNumberForma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167" fontId="6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166" fontId="15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9" fontId="8" fillId="0" borderId="11" xfId="1" applyFont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0" fontId="27" fillId="0" borderId="0" xfId="0" applyFont="1"/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0" fillId="0" borderId="0" xfId="0" applyNumberFormat="1"/>
    <xf numFmtId="16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0" fillId="4" borderId="12" xfId="0" applyFill="1" applyBorder="1"/>
    <xf numFmtId="164" fontId="0" fillId="4" borderId="11" xfId="0" applyNumberFormat="1" applyFill="1" applyBorder="1"/>
    <xf numFmtId="166" fontId="2" fillId="4" borderId="11" xfId="0" applyNumberFormat="1" applyFont="1" applyFill="1" applyBorder="1"/>
    <xf numFmtId="0" fontId="2" fillId="4" borderId="10" xfId="0" applyFont="1" applyFill="1" applyBorder="1"/>
    <xf numFmtId="0" fontId="0" fillId="4" borderId="4" xfId="0" applyFill="1" applyBorder="1"/>
    <xf numFmtId="164" fontId="0" fillId="4" borderId="0" xfId="0" applyNumberFormat="1" applyFill="1" applyBorder="1"/>
    <xf numFmtId="166" fontId="2" fillId="4" borderId="0" xfId="0" applyNumberFormat="1" applyFont="1" applyFill="1" applyBorder="1"/>
    <xf numFmtId="0" fontId="2" fillId="4" borderId="3" xfId="0" applyFont="1" applyFill="1" applyBorder="1"/>
    <xf numFmtId="164" fontId="2" fillId="4" borderId="0" xfId="0" applyNumberFormat="1" applyFont="1" applyFill="1" applyBorder="1"/>
    <xf numFmtId="0" fontId="0" fillId="4" borderId="3" xfId="0" applyFill="1" applyBorder="1"/>
    <xf numFmtId="0" fontId="0" fillId="4" borderId="9" xfId="0" applyFill="1" applyBorder="1"/>
    <xf numFmtId="0" fontId="0" fillId="4" borderId="8" xfId="0" applyFill="1" applyBorder="1"/>
    <xf numFmtId="0" fontId="2" fillId="4" borderId="8" xfId="0" applyFont="1" applyFill="1" applyBorder="1"/>
    <xf numFmtId="0" fontId="2" fillId="4" borderId="8" xfId="0" applyFont="1" applyFill="1" applyBorder="1" applyAlignment="1">
      <alignment wrapText="1"/>
    </xf>
    <xf numFmtId="0" fontId="2" fillId="4" borderId="7" xfId="0" applyFont="1" applyFill="1" applyBorder="1"/>
    <xf numFmtId="0" fontId="0" fillId="4" borderId="0" xfId="0" applyFill="1"/>
    <xf numFmtId="2" fontId="0" fillId="4" borderId="12" xfId="0" applyNumberFormat="1" applyFill="1" applyBorder="1"/>
    <xf numFmtId="2" fontId="0" fillId="4" borderId="11" xfId="0" applyNumberFormat="1" applyFill="1" applyBorder="1"/>
    <xf numFmtId="2" fontId="0" fillId="4" borderId="4" xfId="0" applyNumberFormat="1" applyFill="1" applyBorder="1"/>
    <xf numFmtId="2" fontId="0" fillId="4" borderId="0" xfId="0" applyNumberFormat="1" applyFill="1" applyBorder="1"/>
    <xf numFmtId="0" fontId="0" fillId="4" borderId="0" xfId="0" applyFill="1" applyBorder="1"/>
    <xf numFmtId="2" fontId="2" fillId="4" borderId="0" xfId="0" applyNumberFormat="1" applyFont="1" applyFill="1" applyBorder="1"/>
    <xf numFmtId="0" fontId="2" fillId="4" borderId="0" xfId="0" applyFont="1" applyFill="1" applyBorder="1"/>
    <xf numFmtId="0" fontId="0" fillId="4" borderId="8" xfId="0" applyFill="1" applyBorder="1" applyAlignment="1">
      <alignment vertical="center" wrapText="1"/>
    </xf>
    <xf numFmtId="169" fontId="0" fillId="0" borderId="0" xfId="0" applyNumberFormat="1" applyAlignment="1">
      <alignment vertical="center" wrapText="1"/>
    </xf>
    <xf numFmtId="0" fontId="22" fillId="0" borderId="0" xfId="0" applyFont="1" applyBorder="1"/>
    <xf numFmtId="0" fontId="23" fillId="3" borderId="0" xfId="0" applyFont="1" applyFill="1" applyBorder="1"/>
    <xf numFmtId="0" fontId="0" fillId="3" borderId="0" xfId="0" applyFill="1" applyBorder="1"/>
    <xf numFmtId="0" fontId="21" fillId="0" borderId="0" xfId="0" applyFont="1" applyBorder="1"/>
    <xf numFmtId="0" fontId="21" fillId="3" borderId="0" xfId="0" applyFont="1" applyFill="1" applyBorder="1"/>
    <xf numFmtId="0" fontId="0" fillId="0" borderId="7" xfId="0" applyBorder="1"/>
    <xf numFmtId="0" fontId="0" fillId="0" borderId="9" xfId="0" applyBorder="1"/>
    <xf numFmtId="0" fontId="20" fillId="0" borderId="3" xfId="0" applyFont="1" applyBorder="1"/>
    <xf numFmtId="0" fontId="0" fillId="0" borderId="4" xfId="0" applyBorder="1"/>
    <xf numFmtId="0" fontId="22" fillId="0" borderId="3" xfId="0" applyFont="1" applyBorder="1"/>
    <xf numFmtId="0" fontId="21" fillId="3" borderId="3" xfId="0" applyFont="1" applyFill="1" applyBorder="1"/>
    <xf numFmtId="0" fontId="0" fillId="3" borderId="4" xfId="0" applyFill="1" applyBorder="1"/>
    <xf numFmtId="0" fontId="21" fillId="0" borderId="3" xfId="0" applyFont="1" applyBorder="1"/>
    <xf numFmtId="0" fontId="0" fillId="0" borderId="28" xfId="0" applyBorder="1"/>
    <xf numFmtId="0" fontId="0" fillId="0" borderId="19" xfId="0" applyBorder="1"/>
    <xf numFmtId="0" fontId="0" fillId="0" borderId="29" xfId="0" applyBorder="1"/>
    <xf numFmtId="166" fontId="0" fillId="0" borderId="7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 wrapText="1"/>
    </xf>
    <xf numFmtId="22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/>
    <xf numFmtId="2" fontId="0" fillId="5" borderId="0" xfId="0" applyNumberFormat="1" applyFill="1"/>
    <xf numFmtId="0" fontId="0" fillId="5" borderId="0" xfId="0" applyFill="1" applyBorder="1"/>
    <xf numFmtId="0" fontId="11" fillId="5" borderId="0" xfId="0" applyFont="1" applyFill="1" applyAlignment="1">
      <alignment horizontal="center" wrapText="1"/>
    </xf>
    <xf numFmtId="0" fontId="0" fillId="5" borderId="3" xfId="0" applyFont="1" applyFill="1" applyBorder="1" applyAlignment="1">
      <alignment horizontal="center" vertical="center" wrapText="1"/>
    </xf>
    <xf numFmtId="22" fontId="0" fillId="5" borderId="0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/>
    <xf numFmtId="2" fontId="0" fillId="5" borderId="0" xfId="0" applyNumberFormat="1" applyFill="1" applyBorder="1"/>
    <xf numFmtId="167" fontId="0" fillId="5" borderId="0" xfId="0" applyNumberFormat="1" applyFill="1" applyBorder="1"/>
    <xf numFmtId="0" fontId="0" fillId="5" borderId="4" xfId="0" applyFill="1" applyBorder="1"/>
    <xf numFmtId="0" fontId="8" fillId="0" borderId="0" xfId="0" applyFont="1" applyAlignment="1">
      <alignment horizontal="left"/>
    </xf>
    <xf numFmtId="0" fontId="28" fillId="0" borderId="0" xfId="0" applyFont="1" applyAlignment="1">
      <alignment horizontal="left" vertical="center" readingOrder="1"/>
    </xf>
    <xf numFmtId="49" fontId="2" fillId="0" borderId="20" xfId="0" applyNumberFormat="1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9" fontId="8" fillId="0" borderId="24" xfId="1" applyFont="1" applyBorder="1" applyAlignment="1">
      <alignment horizontal="center"/>
    </xf>
    <xf numFmtId="9" fontId="8" fillId="0" borderId="25" xfId="1" applyFont="1" applyBorder="1" applyAlignment="1">
      <alignment horizontal="center"/>
    </xf>
    <xf numFmtId="9" fontId="8" fillId="0" borderId="21" xfId="1" applyFont="1" applyBorder="1" applyAlignment="1">
      <alignment horizontal="center"/>
    </xf>
    <xf numFmtId="0" fontId="8" fillId="0" borderId="31" xfId="0" applyFont="1" applyBorder="1"/>
    <xf numFmtId="9" fontId="0" fillId="0" borderId="0" xfId="0" applyNumberFormat="1"/>
    <xf numFmtId="166" fontId="2" fillId="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9" fontId="8" fillId="0" borderId="31" xfId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6" fontId="0" fillId="2" borderId="11" xfId="0" applyNumberFormat="1" applyFon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21" xfId="0" applyNumberFormat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wrapText="1"/>
    </xf>
    <xf numFmtId="166" fontId="8" fillId="4" borderId="0" xfId="0" applyNumberFormat="1" applyFont="1" applyFill="1" applyAlignment="1">
      <alignment horizontal="center"/>
    </xf>
    <xf numFmtId="0" fontId="0" fillId="0" borderId="8" xfId="0" applyFont="1" applyBorder="1"/>
    <xf numFmtId="0" fontId="0" fillId="0" borderId="0" xfId="0" applyFont="1" applyBorder="1"/>
    <xf numFmtId="166" fontId="0" fillId="0" borderId="0" xfId="0" applyNumberFormat="1" applyFont="1" applyBorder="1"/>
    <xf numFmtId="2" fontId="0" fillId="5" borderId="0" xfId="0" applyNumberFormat="1" applyFont="1" applyFill="1" applyBorder="1" applyAlignment="1">
      <alignment horizontal="center"/>
    </xf>
    <xf numFmtId="2" fontId="8" fillId="0" borderId="0" xfId="0" applyNumberFormat="1" applyFont="1" applyBorder="1"/>
    <xf numFmtId="2" fontId="8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8" fillId="0" borderId="4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31441571533663"/>
          <c:y val="6.5289442986293383E-2"/>
          <c:w val="0.79810070021524127"/>
          <c:h val="0.75854549431321094"/>
        </c:manualLayout>
      </c:layout>
      <c:scatterChart>
        <c:scatterStyle val="smoothMarker"/>
        <c:varyColors val="0"/>
        <c:ser>
          <c:idx val="0"/>
          <c:order val="0"/>
          <c:tx>
            <c:v>WT</c:v>
          </c:tx>
          <c:xVal>
            <c:numRef>
              <c:f>Batch_rates!$A$6:$A$10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22.5</c:v>
                </c:pt>
                <c:pt idx="4">
                  <c:v>32</c:v>
                </c:pt>
              </c:numCache>
            </c:numRef>
          </c:xVal>
          <c:yVal>
            <c:numRef>
              <c:f>Batch_rates!$B$6:$B$10</c:f>
              <c:numCache>
                <c:formatCode>General</c:formatCode>
                <c:ptCount val="5"/>
                <c:pt idx="0">
                  <c:v>5.5E-2</c:v>
                </c:pt>
                <c:pt idx="1">
                  <c:v>8.6999999999999994E-2</c:v>
                </c:pt>
                <c:pt idx="2">
                  <c:v>0.28999999999999998</c:v>
                </c:pt>
                <c:pt idx="3">
                  <c:v>0.82399999999999995</c:v>
                </c:pt>
                <c:pt idx="4">
                  <c:v>0.91800000000000004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41-DC42-9A57-2152C5D8BFA8}"/>
            </c:ext>
          </c:extLst>
        </c:ser>
        <c:ser>
          <c:idx val="1"/>
          <c:order val="1"/>
          <c:tx>
            <c:v>IPFG07</c:v>
          </c:tx>
          <c:xVal>
            <c:numRef>
              <c:f>Batch_rates!$C$6:$C$12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22.5</c:v>
                </c:pt>
                <c:pt idx="4">
                  <c:v>32</c:v>
                </c:pt>
                <c:pt idx="5">
                  <c:v>45.5</c:v>
                </c:pt>
                <c:pt idx="6">
                  <c:v>48.5</c:v>
                </c:pt>
              </c:numCache>
            </c:numRef>
          </c:xVal>
          <c:yVal>
            <c:numRef>
              <c:f>Batch_rates!$D$6:$D$12</c:f>
              <c:numCache>
                <c:formatCode>General</c:formatCode>
                <c:ptCount val="7"/>
                <c:pt idx="0">
                  <c:v>5.1999999999999998E-2</c:v>
                </c:pt>
                <c:pt idx="1">
                  <c:v>7.0999999999999994E-2</c:v>
                </c:pt>
                <c:pt idx="2">
                  <c:v>0.10100000000000001</c:v>
                </c:pt>
                <c:pt idx="3">
                  <c:v>0.193</c:v>
                </c:pt>
                <c:pt idx="4">
                  <c:v>0.29399999999999998</c:v>
                </c:pt>
                <c:pt idx="5">
                  <c:v>0.501</c:v>
                </c:pt>
                <c:pt idx="6">
                  <c:v>0.52900000000000003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41-DC42-9A57-2152C5D8B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25433568"/>
        <c:axId val="-849755648"/>
      </c:scatterChart>
      <c:valAx>
        <c:axId val="-13254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-849755648"/>
        <c:crosses val="autoZero"/>
        <c:crossBetween val="midCat"/>
        <c:majorUnit val="15"/>
      </c:valAx>
      <c:valAx>
        <c:axId val="-849755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Optical Density (A600)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325433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13804445330404"/>
          <c:y val="0.10571376494604841"/>
          <c:w val="0.19815309478720219"/>
          <c:h val="0.214498396033829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093328958880102"/>
                  <c:y val="-3.54002624671916E-2"/>
                </c:manualLayout>
              </c:layout>
              <c:numFmt formatCode="General" sourceLinked="0"/>
            </c:trendlineLbl>
          </c:trendline>
          <c:xVal>
            <c:numRef>
              <c:f>(Cline_summary!$G$3:$G$7,Cline_summary!$G$9:$G$12)</c:f>
              <c:numCache>
                <c:formatCode>General</c:formatCode>
                <c:ptCount val="9"/>
                <c:pt idx="0">
                  <c:v>0</c:v>
                </c:pt>
                <c:pt idx="1">
                  <c:v>0.23</c:v>
                </c:pt>
                <c:pt idx="2">
                  <c:v>0.40400000000000003</c:v>
                </c:pt>
                <c:pt idx="3">
                  <c:v>0.88200000000000001</c:v>
                </c:pt>
                <c:pt idx="4">
                  <c:v>1.641</c:v>
                </c:pt>
                <c:pt idx="5">
                  <c:v>0.214</c:v>
                </c:pt>
                <c:pt idx="6">
                  <c:v>0.47</c:v>
                </c:pt>
                <c:pt idx="7">
                  <c:v>0.77600000000000002</c:v>
                </c:pt>
                <c:pt idx="8">
                  <c:v>1.671</c:v>
                </c:pt>
              </c:numCache>
            </c:numRef>
          </c:xVal>
          <c:yVal>
            <c:numRef>
              <c:f>(Cline_summary!$F$3:$F$7,Cline_summary!$F$9:$F$12)</c:f>
              <c:numCache>
                <c:formatCode>General</c:formatCode>
                <c:ptCount val="9"/>
                <c:pt idx="0">
                  <c:v>0</c:v>
                </c:pt>
                <c:pt idx="1">
                  <c:v>3.125E-2</c:v>
                </c:pt>
                <c:pt idx="2">
                  <c:v>6.25E-2</c:v>
                </c:pt>
                <c:pt idx="3">
                  <c:v>0.125</c:v>
                </c:pt>
                <c:pt idx="4">
                  <c:v>0.25</c:v>
                </c:pt>
                <c:pt idx="5">
                  <c:v>3.125E-2</c:v>
                </c:pt>
                <c:pt idx="6">
                  <c:v>6.25E-2</c:v>
                </c:pt>
                <c:pt idx="7">
                  <c:v>0.125</c:v>
                </c:pt>
                <c:pt idx="8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C7-964F-BB35-1B5645E5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6731952"/>
        <c:axId val="-876728208"/>
      </c:scatterChart>
      <c:valAx>
        <c:axId val="-87673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76728208"/>
        <c:crosses val="autoZero"/>
        <c:crossBetween val="midCat"/>
      </c:valAx>
      <c:valAx>
        <c:axId val="-87672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76731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3</xdr:row>
      <xdr:rowOff>50800</xdr:rowOff>
    </xdr:from>
    <xdr:to>
      <xdr:col>8</xdr:col>
      <xdr:colOff>800100</xdr:colOff>
      <xdr:row>17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0BDF95-2773-6B40-9A84-9AB20BAC2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279400</xdr:colOff>
      <xdr:row>18</xdr:row>
      <xdr:rowOff>127000</xdr:rowOff>
    </xdr:from>
    <xdr:to>
      <xdr:col>8</xdr:col>
      <xdr:colOff>800100</xdr:colOff>
      <xdr:row>33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AAC48-6301-104A-8C3C-21E2B207D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0200" y="3441700"/>
          <a:ext cx="3683000" cy="275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554567</xdr:colOff>
      <xdr:row>1</xdr:row>
      <xdr:rowOff>334433</xdr:rowOff>
    </xdr:from>
    <xdr:to>
      <xdr:col>14</xdr:col>
      <xdr:colOff>385234</xdr:colOff>
      <xdr:row>13</xdr:row>
      <xdr:rowOff>55033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AF0559-4779-2742-A18E-C2D97DF66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793F-132E-0F42-B3EC-4B15ED9EB8FA}">
  <dimension ref="B1:H5"/>
  <sheetViews>
    <sheetView tabSelected="1" zoomScale="150" workbookViewId="0">
      <selection activeCell="J6" sqref="J6"/>
    </sheetView>
  </sheetViews>
  <sheetFormatPr baseColWidth="10" defaultRowHeight="15"/>
  <cols>
    <col min="1" max="1" width="1" customWidth="1"/>
    <col min="3" max="3" width="13.83203125" customWidth="1"/>
    <col min="4" max="4" width="16" customWidth="1"/>
    <col min="5" max="5" width="13.33203125" customWidth="1"/>
    <col min="6" max="6" width="13.83203125" customWidth="1"/>
  </cols>
  <sheetData>
    <row r="1" spans="2:8" ht="6" customHeight="1" thickBot="1">
      <c r="B1" s="44"/>
    </row>
    <row r="2" spans="2:8" s="137" customFormat="1" ht="46" thickBot="1">
      <c r="B2" s="311" t="s">
        <v>26</v>
      </c>
      <c r="C2" s="312" t="s">
        <v>76</v>
      </c>
      <c r="D2" s="313" t="s">
        <v>77</v>
      </c>
      <c r="E2" s="314" t="s">
        <v>87</v>
      </c>
      <c r="F2" s="314" t="s">
        <v>74</v>
      </c>
      <c r="G2" s="312" t="s">
        <v>207</v>
      </c>
      <c r="H2" s="315" t="s">
        <v>75</v>
      </c>
    </row>
    <row r="3" spans="2:8">
      <c r="B3" s="46" t="s">
        <v>27</v>
      </c>
      <c r="C3" s="27">
        <f>AVERAGE(Chemostats_Calcs!AA11:AA12,Chemostats_Calcs!AA19:AA20,Chemostats_Calcs!AA17)</f>
        <v>1.0691693850301776</v>
      </c>
      <c r="D3" s="28">
        <f>_xlfn.STDEV.P(Chemostats_Calcs!AA11:AA12,Chemostats_Calcs!AA17,Chemostats_Calcs!AA19:AA20)</f>
        <v>7.6296307954160245E-2</v>
      </c>
      <c r="E3" s="40">
        <f>MAX(Chemostats_Calcs!AC11:AC12,Chemostats_Calcs!AC17,Chemostats_Calcs!AC19:AC20)</f>
        <v>6.1461794019933402E-2</v>
      </c>
      <c r="F3" s="40">
        <f>MIN(Chemostats_Calcs!AC11:AC12,Chemostats_Calcs!AC17,Chemostats_Calcs!AC19:AC20)</f>
        <v>-8.1573100772623378E-2</v>
      </c>
      <c r="G3" s="143">
        <f>Chemostats_Calcs!R43</f>
        <v>6.2423786989871877</v>
      </c>
      <c r="H3" s="309">
        <f>Chemostats_Calcs!R44</f>
        <v>1.4243914149860504</v>
      </c>
    </row>
    <row r="4" spans="2:8" ht="16" thickBot="1">
      <c r="B4" s="47" t="s">
        <v>29</v>
      </c>
      <c r="C4" s="29">
        <f>AVERAGE(Chemostats_Calcs!AA34:AA36,Chemostats_Calcs!AA40:AA41)</f>
        <v>1.0554703389450355</v>
      </c>
      <c r="D4" s="30">
        <f>_xlfn.STDEV.P(Chemostats_Calcs!AA34:AA36,Chemostats_Calcs!AA40:AA41)</f>
        <v>3.4021325081735367E-2</v>
      </c>
      <c r="E4" s="41">
        <f>MAX(Chemostats_Calcs!AC34:AC36,Chemostats_Calcs!AC40:AC41)</f>
        <v>2.9950581540458304E-2</v>
      </c>
      <c r="F4" s="142">
        <f>MIN(Chemostats_Calcs!AC34:AC36,Chemostats_Calcs!AC40:AC41)</f>
        <v>-3.1835205992509386E-2</v>
      </c>
      <c r="G4" s="144">
        <f>Chemostats_Calcs!R45</f>
        <v>6.685970245570493</v>
      </c>
      <c r="H4" s="310">
        <f>Chemostats_Calcs!R46</f>
        <v>0.99151704462354817</v>
      </c>
    </row>
    <row r="5" spans="2:8">
      <c r="C5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494BB-DBD1-8D4C-8885-B1FDC2983E13}">
  <dimension ref="B1:F9"/>
  <sheetViews>
    <sheetView workbookViewId="0">
      <selection activeCell="B22" sqref="B22"/>
    </sheetView>
  </sheetViews>
  <sheetFormatPr baseColWidth="10" defaultRowHeight="15"/>
  <cols>
    <col min="2" max="2" width="17.1640625" customWidth="1"/>
  </cols>
  <sheetData>
    <row r="1" spans="2:6" ht="16" thickBot="1"/>
    <row r="2" spans="2:6">
      <c r="B2" s="190"/>
      <c r="C2" s="54"/>
      <c r="D2" s="54"/>
      <c r="E2" s="54"/>
      <c r="F2" s="191"/>
    </row>
    <row r="3" spans="2:6" ht="18">
      <c r="B3" s="192" t="s">
        <v>72</v>
      </c>
      <c r="C3" s="3"/>
      <c r="D3" s="3"/>
      <c r="E3" s="3"/>
      <c r="F3" s="193"/>
    </row>
    <row r="4" spans="2:6" ht="16">
      <c r="B4" s="194" t="s">
        <v>63</v>
      </c>
      <c r="C4" s="185" t="s">
        <v>64</v>
      </c>
      <c r="D4" s="3"/>
      <c r="E4" s="3"/>
      <c r="F4" s="193"/>
    </row>
    <row r="5" spans="2:6" ht="18">
      <c r="B5" s="195" t="s">
        <v>65</v>
      </c>
      <c r="C5" s="186" t="s">
        <v>66</v>
      </c>
      <c r="D5" s="187"/>
      <c r="E5" s="187"/>
      <c r="F5" s="196"/>
    </row>
    <row r="6" spans="2:6" ht="16">
      <c r="B6" s="197" t="s">
        <v>67</v>
      </c>
      <c r="C6" s="188" t="s">
        <v>68</v>
      </c>
      <c r="D6" s="3"/>
      <c r="E6" s="3"/>
      <c r="F6" s="193"/>
    </row>
    <row r="7" spans="2:6" ht="16">
      <c r="B7" s="195" t="s">
        <v>29</v>
      </c>
      <c r="C7" s="189" t="s">
        <v>69</v>
      </c>
      <c r="D7" s="187"/>
      <c r="E7" s="187"/>
      <c r="F7" s="196"/>
    </row>
    <row r="8" spans="2:6" ht="18">
      <c r="B8" s="197" t="s">
        <v>70</v>
      </c>
      <c r="C8" s="188" t="s">
        <v>71</v>
      </c>
      <c r="D8" s="3"/>
      <c r="E8" s="3"/>
      <c r="F8" s="193"/>
    </row>
    <row r="9" spans="2:6">
      <c r="B9" s="198" t="s">
        <v>73</v>
      </c>
      <c r="C9" s="199"/>
      <c r="D9" s="199"/>
      <c r="E9" s="199"/>
      <c r="F9" s="20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13B2-92B4-E04F-B745-082F200163F2}">
  <dimension ref="A1:J26"/>
  <sheetViews>
    <sheetView workbookViewId="0">
      <selection activeCell="C15" sqref="C15"/>
    </sheetView>
  </sheetViews>
  <sheetFormatPr baseColWidth="10" defaultColWidth="8.83203125" defaultRowHeight="15"/>
  <cols>
    <col min="1" max="4" width="12.6640625" style="39" customWidth="1"/>
    <col min="5" max="5" width="8.83203125" style="39"/>
    <col min="6" max="6" width="9.6640625" style="39" customWidth="1"/>
    <col min="7" max="7" width="10.1640625" style="39" customWidth="1"/>
    <col min="8" max="8" width="12.83203125" style="39" customWidth="1"/>
    <col min="9" max="9" width="11" style="39" customWidth="1"/>
    <col min="10" max="16384" width="8.83203125" style="39"/>
  </cols>
  <sheetData>
    <row r="1" spans="1:7" s="256" customFormat="1" ht="6.75" customHeight="1"/>
    <row r="2" spans="1:7" s="258" customFormat="1">
      <c r="A2" s="257" t="s">
        <v>187</v>
      </c>
      <c r="B2" s="257"/>
      <c r="C2" s="257"/>
      <c r="D2" s="257"/>
      <c r="E2" s="257"/>
      <c r="F2" s="257"/>
      <c r="G2" s="257"/>
    </row>
    <row r="3" spans="1:7">
      <c r="A3" s="251"/>
      <c r="B3" s="254"/>
      <c r="C3" s="254"/>
      <c r="D3" s="254"/>
      <c r="E3" s="254"/>
    </row>
    <row r="4" spans="1:7">
      <c r="A4" s="254"/>
      <c r="B4" s="254"/>
      <c r="C4" s="254"/>
      <c r="D4" s="254"/>
      <c r="E4" s="254"/>
    </row>
    <row r="5" spans="1:7">
      <c r="A5" s="251" t="s">
        <v>190</v>
      </c>
      <c r="B5" s="251" t="s">
        <v>189</v>
      </c>
      <c r="C5" s="251" t="s">
        <v>190</v>
      </c>
      <c r="D5" s="251" t="s">
        <v>188</v>
      </c>
      <c r="E5" s="254"/>
    </row>
    <row r="6" spans="1:7">
      <c r="A6" s="254">
        <v>0</v>
      </c>
      <c r="B6" s="254">
        <v>5.5E-2</v>
      </c>
      <c r="C6" s="254">
        <v>0</v>
      </c>
      <c r="D6" s="254">
        <v>5.1999999999999998E-2</v>
      </c>
      <c r="E6" s="254"/>
    </row>
    <row r="7" spans="1:7">
      <c r="A7" s="254">
        <v>4</v>
      </c>
      <c r="B7" s="254">
        <v>8.6999999999999994E-2</v>
      </c>
      <c r="C7" s="254">
        <f>A7</f>
        <v>4</v>
      </c>
      <c r="D7" s="254">
        <v>7.0999999999999994E-2</v>
      </c>
      <c r="E7" s="254"/>
    </row>
    <row r="8" spans="1:7">
      <c r="A8" s="254">
        <f>A7+5</f>
        <v>9</v>
      </c>
      <c r="B8" s="254">
        <v>0.28999999999999998</v>
      </c>
      <c r="C8" s="254">
        <f t="shared" ref="C8:C9" si="0">A8</f>
        <v>9</v>
      </c>
      <c r="D8" s="254">
        <v>0.10100000000000001</v>
      </c>
      <c r="E8" s="254"/>
    </row>
    <row r="9" spans="1:7">
      <c r="A9" s="254">
        <f>A8+12+1.5</f>
        <v>22.5</v>
      </c>
      <c r="B9" s="254">
        <v>0.82399999999999995</v>
      </c>
      <c r="C9" s="254">
        <f t="shared" si="0"/>
        <v>22.5</v>
      </c>
      <c r="D9" s="254">
        <v>0.193</v>
      </c>
      <c r="E9" s="254"/>
    </row>
    <row r="10" spans="1:7">
      <c r="A10" s="254">
        <f>A9+9.5</f>
        <v>32</v>
      </c>
      <c r="B10" s="254">
        <v>0.91800000000000004</v>
      </c>
      <c r="C10" s="254">
        <f>A10</f>
        <v>32</v>
      </c>
      <c r="D10" s="254">
        <v>0.29399999999999998</v>
      </c>
    </row>
    <row r="11" spans="1:7">
      <c r="A11" s="254"/>
      <c r="B11" s="254"/>
      <c r="C11" s="254">
        <f>C10+12+1.5</f>
        <v>45.5</v>
      </c>
      <c r="D11" s="254">
        <v>0.501</v>
      </c>
    </row>
    <row r="12" spans="1:7">
      <c r="A12" s="254"/>
      <c r="B12" s="254"/>
      <c r="C12" s="254">
        <f>C11+3</f>
        <v>48.5</v>
      </c>
      <c r="D12" s="254">
        <v>0.52900000000000003</v>
      </c>
      <c r="E12" s="254"/>
    </row>
    <row r="13" spans="1:7">
      <c r="A13" s="251"/>
      <c r="B13" s="251"/>
      <c r="C13" s="254"/>
      <c r="D13" s="254"/>
      <c r="E13" s="254"/>
    </row>
    <row r="14" spans="1:7">
      <c r="A14" s="254"/>
      <c r="B14" s="254"/>
      <c r="C14" s="254"/>
      <c r="D14" s="254"/>
      <c r="E14" s="254"/>
    </row>
    <row r="15" spans="1:7">
      <c r="A15" s="254" t="s">
        <v>185</v>
      </c>
      <c r="B15" s="254" t="s">
        <v>186</v>
      </c>
      <c r="C15" s="255" t="s">
        <v>192</v>
      </c>
      <c r="D15" s="255" t="s">
        <v>191</v>
      </c>
      <c r="E15" s="254"/>
      <c r="F15" s="259"/>
      <c r="G15" s="252"/>
    </row>
    <row r="16" spans="1:7">
      <c r="A16" s="254" t="s">
        <v>27</v>
      </c>
      <c r="B16" s="254" t="s">
        <v>27</v>
      </c>
      <c r="C16" s="254" t="s">
        <v>27</v>
      </c>
      <c r="D16" s="254" t="s">
        <v>27</v>
      </c>
      <c r="F16" s="259"/>
      <c r="G16" s="252"/>
    </row>
    <row r="17" spans="1:10">
      <c r="A17" s="252">
        <f>LN(B7/B6)/(A7-A6)</f>
        <v>0.1146437333555282</v>
      </c>
      <c r="B17" s="252">
        <f>A17*24</f>
        <v>2.751449600532677</v>
      </c>
      <c r="E17" s="254"/>
    </row>
    <row r="18" spans="1:10">
      <c r="A18" s="253">
        <f>LN(B8/B7)/(A8-A7)</f>
        <v>0.24079456086518722</v>
      </c>
      <c r="B18" s="253">
        <f>A18*24</f>
        <v>5.779069460764493</v>
      </c>
      <c r="C18" s="250">
        <f>MAX(B17:B20)</f>
        <v>5.779069460764493</v>
      </c>
      <c r="D18" s="250">
        <f>24/C18</f>
        <v>4.1529177254126868</v>
      </c>
    </row>
    <row r="19" spans="1:10">
      <c r="A19" s="252">
        <f>LN(B9/B8)/(A9-A8)</f>
        <v>7.7354785698440884E-2</v>
      </c>
      <c r="B19" s="252">
        <f>A19*24</f>
        <v>1.8565148567625811</v>
      </c>
    </row>
    <row r="20" spans="1:10">
      <c r="A20" s="252">
        <f>LN(B10/B9)/(A10-A9)</f>
        <v>1.1371248495896718E-2</v>
      </c>
      <c r="B20" s="252">
        <f>A20*24</f>
        <v>0.27290996390152122</v>
      </c>
      <c r="D20" s="262"/>
    </row>
    <row r="21" spans="1:10">
      <c r="A21" s="254" t="s">
        <v>29</v>
      </c>
      <c r="B21" s="254" t="s">
        <v>29</v>
      </c>
      <c r="C21" s="254" t="s">
        <v>29</v>
      </c>
      <c r="D21" s="254" t="s">
        <v>29</v>
      </c>
    </row>
    <row r="22" spans="1:10">
      <c r="A22" s="259">
        <f>LN(D9/D8)/(C9-C8)</f>
        <v>4.796812385656489E-2</v>
      </c>
      <c r="B22" s="252">
        <f>A22*24</f>
        <v>1.1512349725575572</v>
      </c>
      <c r="J22" s="262"/>
    </row>
    <row r="23" spans="1:10">
      <c r="A23" s="259">
        <f>LN(D10/D9)/(C10-C9)</f>
        <v>4.4304166150925896E-2</v>
      </c>
      <c r="B23" s="252">
        <f>A23*24</f>
        <v>1.0632999876222216</v>
      </c>
      <c r="J23" s="262"/>
    </row>
    <row r="24" spans="1:10">
      <c r="A24" s="259">
        <f>LN(D11/D10)/(C11-C10)</f>
        <v>3.9483432129346907E-2</v>
      </c>
      <c r="B24" s="252">
        <f>A24*24</f>
        <v>0.94760237110432577</v>
      </c>
    </row>
    <row r="25" spans="1:10">
      <c r="A25" s="260">
        <f>LN(D12/D11)/(C12-C11)</f>
        <v>1.8127443591144907E-2</v>
      </c>
      <c r="B25" s="253">
        <f>A25*24</f>
        <v>0.4350586461874778</v>
      </c>
      <c r="C25" s="250">
        <f>MAX(B22:B25)</f>
        <v>1.1512349725575572</v>
      </c>
      <c r="D25" s="250">
        <f>24/C25</f>
        <v>20.847177658859817</v>
      </c>
    </row>
    <row r="26" spans="1:10">
      <c r="A26" s="254"/>
      <c r="B26" s="25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D788-B531-374C-A26B-6FE78D37C64A}">
  <dimension ref="A1:J16"/>
  <sheetViews>
    <sheetView workbookViewId="0">
      <selection activeCell="J26" sqref="J26"/>
    </sheetView>
  </sheetViews>
  <sheetFormatPr baseColWidth="10" defaultRowHeight="15"/>
  <cols>
    <col min="1" max="1" width="4.6640625" customWidth="1"/>
    <col min="3" max="3" width="14" customWidth="1"/>
    <col min="4" max="4" width="13.5" customWidth="1"/>
    <col min="5" max="5" width="13.83203125" customWidth="1"/>
    <col min="6" max="6" width="13.6640625" customWidth="1"/>
    <col min="7" max="7" width="14.5" customWidth="1"/>
    <col min="8" max="8" width="16" customWidth="1"/>
    <col min="9" max="9" width="18.1640625" customWidth="1"/>
  </cols>
  <sheetData>
    <row r="1" spans="1:10" ht="19">
      <c r="A1" s="145" t="s">
        <v>41</v>
      </c>
    </row>
    <row r="3" spans="1:10" ht="19">
      <c r="B3" s="136" t="s">
        <v>62</v>
      </c>
      <c r="C3" s="136" t="s">
        <v>61</v>
      </c>
      <c r="D3" s="136" t="s">
        <v>60</v>
      </c>
      <c r="E3" s="136" t="s">
        <v>59</v>
      </c>
      <c r="F3" s="136" t="s">
        <v>58</v>
      </c>
      <c r="G3" s="136" t="s">
        <v>57</v>
      </c>
      <c r="H3" s="136" t="s">
        <v>56</v>
      </c>
      <c r="I3" s="136" t="s">
        <v>55</v>
      </c>
    </row>
    <row r="4" spans="1:10" ht="16">
      <c r="B4" s="132" t="s">
        <v>54</v>
      </c>
      <c r="C4" s="131">
        <v>-1.52</v>
      </c>
      <c r="D4" s="131">
        <v>-1.35</v>
      </c>
      <c r="E4" s="132" t="s">
        <v>20</v>
      </c>
      <c r="F4" s="132" t="s">
        <v>20</v>
      </c>
      <c r="G4" s="131">
        <f t="shared" ref="G4:G15" si="0">AVERAGE(C4:D4)</f>
        <v>-1.4350000000000001</v>
      </c>
      <c r="H4" s="132" t="s">
        <v>20</v>
      </c>
      <c r="I4" s="132" t="s">
        <v>20</v>
      </c>
    </row>
    <row r="5" spans="1:10" ht="16">
      <c r="B5" s="132" t="s">
        <v>53</v>
      </c>
      <c r="C5" s="131">
        <v>7.73</v>
      </c>
      <c r="D5" s="131">
        <v>8.01</v>
      </c>
      <c r="E5" s="131">
        <v>-10.09</v>
      </c>
      <c r="F5" s="131">
        <v>-10.15</v>
      </c>
      <c r="G5" s="131">
        <f t="shared" si="0"/>
        <v>7.87</v>
      </c>
      <c r="H5" s="131">
        <f>AVERAGE(E5:F5)</f>
        <v>-10.120000000000001</v>
      </c>
      <c r="I5" s="130">
        <f>(((1-(H5/1000))/(1-(G5/1000)))-1)*1000</f>
        <v>18.132704383498009</v>
      </c>
    </row>
    <row r="6" spans="1:10" ht="16">
      <c r="B6" s="132" t="s">
        <v>52</v>
      </c>
      <c r="C6" s="131">
        <v>7.46</v>
      </c>
      <c r="D6" s="131">
        <v>7.61</v>
      </c>
      <c r="E6" s="131">
        <v>-9.4700000000000006</v>
      </c>
      <c r="F6" s="131">
        <v>-9.4499999999999993</v>
      </c>
      <c r="G6" s="131">
        <f t="shared" si="0"/>
        <v>7.5350000000000001</v>
      </c>
      <c r="H6" s="131">
        <f>AVERAGE(E6:F6)</f>
        <v>-9.4600000000000009</v>
      </c>
      <c r="I6" s="130">
        <f>(((1-(H6/1000))/(1-(G6/1000)))-1)*1000</f>
        <v>17.124029562755272</v>
      </c>
    </row>
    <row r="7" spans="1:10" ht="16">
      <c r="B7" s="132" t="s">
        <v>51</v>
      </c>
      <c r="C7" s="131">
        <v>6.54</v>
      </c>
      <c r="D7" s="131">
        <v>6.72</v>
      </c>
      <c r="E7" s="131">
        <v>-10.06</v>
      </c>
      <c r="F7" s="131">
        <v>-9.91</v>
      </c>
      <c r="G7" s="131">
        <f t="shared" si="0"/>
        <v>6.63</v>
      </c>
      <c r="H7" s="131">
        <f>AVERAGE(E7:F7)</f>
        <v>-9.9849999999999994</v>
      </c>
      <c r="I7" s="130">
        <f>(((1-(H7/1000))/(1-(G7/1000)))-1)*1000</f>
        <v>16.725892668391307</v>
      </c>
    </row>
    <row r="8" spans="1:10" ht="16">
      <c r="B8" s="132" t="s">
        <v>50</v>
      </c>
      <c r="C8" s="131">
        <v>7.21</v>
      </c>
      <c r="D8" s="131">
        <v>7.34</v>
      </c>
      <c r="E8" s="131">
        <v>-9.91</v>
      </c>
      <c r="F8" s="131">
        <v>-9.99</v>
      </c>
      <c r="G8" s="131">
        <f t="shared" si="0"/>
        <v>7.2750000000000004</v>
      </c>
      <c r="H8" s="131">
        <f>AVERAGE(E8:F8)</f>
        <v>-9.9499999999999993</v>
      </c>
      <c r="I8" s="130">
        <f>(((1-(H8/1000))/(1-(G8/1000)))-1)*1000</f>
        <v>17.351230199702748</v>
      </c>
      <c r="J8" s="39" t="s">
        <v>193</v>
      </c>
    </row>
    <row r="9" spans="1:10" ht="16">
      <c r="B9" s="132" t="s">
        <v>49</v>
      </c>
      <c r="C9" s="131">
        <v>7.17</v>
      </c>
      <c r="D9" s="131">
        <v>7.16</v>
      </c>
      <c r="E9" s="131">
        <v>-9.75</v>
      </c>
      <c r="F9" s="131">
        <v>-9.91</v>
      </c>
      <c r="G9" s="131">
        <f t="shared" si="0"/>
        <v>7.165</v>
      </c>
      <c r="H9" s="131">
        <f>AVERAGE(E9:F9)</f>
        <v>-9.83</v>
      </c>
      <c r="I9" s="130">
        <f>(((1-(H9/1000))/(1-(G9/1000)))-1)*1000</f>
        <v>17.117647947544114</v>
      </c>
      <c r="J9" s="261">
        <f>STDEV(I5:I9)</f>
        <v>0.52186393343005855</v>
      </c>
    </row>
    <row r="10" spans="1:10" ht="16">
      <c r="B10" s="134" t="s">
        <v>48</v>
      </c>
      <c r="C10" s="135">
        <v>-1.24</v>
      </c>
      <c r="D10" s="135">
        <v>-1.1499999999999999</v>
      </c>
      <c r="E10" s="134" t="s">
        <v>20</v>
      </c>
      <c r="F10" s="134" t="s">
        <v>20</v>
      </c>
      <c r="G10" s="135">
        <f t="shared" si="0"/>
        <v>-1.1949999999999998</v>
      </c>
      <c r="H10" s="134" t="s">
        <v>20</v>
      </c>
      <c r="I10" s="133" t="s">
        <v>20</v>
      </c>
      <c r="J10" s="261"/>
    </row>
    <row r="11" spans="1:10" ht="16">
      <c r="B11" s="132" t="s">
        <v>47</v>
      </c>
      <c r="C11" s="131">
        <v>5.08</v>
      </c>
      <c r="D11" s="131">
        <v>4.84</v>
      </c>
      <c r="E11" s="131">
        <v>-7.29</v>
      </c>
      <c r="F11" s="131">
        <v>-7.47</v>
      </c>
      <c r="G11" s="131">
        <f t="shared" si="0"/>
        <v>4.96</v>
      </c>
      <c r="H11" s="131">
        <f>AVERAGE(E11:F11)</f>
        <v>-7.38</v>
      </c>
      <c r="I11" s="130">
        <f>(((1-(H11/1000))/(1-(G11/1000)))-1)*1000</f>
        <v>12.401511497025064</v>
      </c>
      <c r="J11" s="261"/>
    </row>
    <row r="12" spans="1:10" ht="16">
      <c r="B12" s="132" t="s">
        <v>46</v>
      </c>
      <c r="C12" s="131">
        <v>5.53</v>
      </c>
      <c r="D12" s="131">
        <v>5.54</v>
      </c>
      <c r="E12" s="131">
        <v>-7.77</v>
      </c>
      <c r="F12" s="131">
        <v>-7.78</v>
      </c>
      <c r="G12" s="131">
        <f t="shared" si="0"/>
        <v>5.5350000000000001</v>
      </c>
      <c r="H12" s="131">
        <f>AVERAGE(E12:F12)</f>
        <v>-7.7750000000000004</v>
      </c>
      <c r="I12" s="130">
        <f>(((1-(H12/1000))/(1-(G12/1000)))-1)*1000</f>
        <v>13.384080887713479</v>
      </c>
      <c r="J12" s="261"/>
    </row>
    <row r="13" spans="1:10" ht="16">
      <c r="B13" s="132" t="s">
        <v>45</v>
      </c>
      <c r="C13" s="131">
        <v>4.9800000000000004</v>
      </c>
      <c r="D13" s="131">
        <v>5.0199999999999996</v>
      </c>
      <c r="E13" s="131">
        <v>-7.26</v>
      </c>
      <c r="F13" s="131">
        <v>-7.38</v>
      </c>
      <c r="G13" s="131">
        <f t="shared" si="0"/>
        <v>5</v>
      </c>
      <c r="H13" s="131">
        <f>AVERAGE(E13:F13)</f>
        <v>-7.32</v>
      </c>
      <c r="I13" s="130">
        <f>(((1-(H13/1000))/(1-(G13/1000)))-1)*1000</f>
        <v>12.381909547738656</v>
      </c>
      <c r="J13" s="261"/>
    </row>
    <row r="14" spans="1:10" ht="16">
      <c r="B14" s="132" t="s">
        <v>44</v>
      </c>
      <c r="C14" s="131">
        <v>5.28</v>
      </c>
      <c r="D14" s="131">
        <v>5.26</v>
      </c>
      <c r="E14" s="131">
        <v>-7.09</v>
      </c>
      <c r="F14" s="131">
        <v>-7.04</v>
      </c>
      <c r="G14" s="131">
        <f t="shared" si="0"/>
        <v>5.27</v>
      </c>
      <c r="H14" s="131">
        <f>AVERAGE(E14:F14)</f>
        <v>-7.0649999999999995</v>
      </c>
      <c r="I14" s="130">
        <f>(((1-(H14/1000))/(1-(G14/1000)))-1)*1000</f>
        <v>12.400349843676217</v>
      </c>
      <c r="J14" s="261"/>
    </row>
    <row r="15" spans="1:10" ht="16">
      <c r="B15" s="129" t="s">
        <v>43</v>
      </c>
      <c r="C15" s="128">
        <v>4.9800000000000004</v>
      </c>
      <c r="D15" s="128">
        <v>5.15</v>
      </c>
      <c r="E15" s="128">
        <v>-7.15</v>
      </c>
      <c r="F15" s="128">
        <v>-7.18</v>
      </c>
      <c r="G15" s="128">
        <f t="shared" si="0"/>
        <v>5.0650000000000004</v>
      </c>
      <c r="H15" s="128">
        <f>AVERAGE(E15:F15)</f>
        <v>-7.165</v>
      </c>
      <c r="I15" s="127">
        <f>(((1-(H15/1000))/(1-(G15/1000)))-1)*1000</f>
        <v>12.292260298411462</v>
      </c>
      <c r="J15" s="261">
        <f>STDEV(I11:I15)</f>
        <v>0.45617818672525062</v>
      </c>
    </row>
    <row r="16" spans="1:10" ht="19" thickBot="1">
      <c r="B16" s="126" t="s">
        <v>42</v>
      </c>
      <c r="C16" s="125"/>
      <c r="D16" s="125"/>
      <c r="E16" s="125"/>
      <c r="F16" s="125"/>
      <c r="G16" s="125"/>
      <c r="H16" s="125"/>
      <c r="I16" s="1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FB22-5882-5446-9367-68C0D0454F17}">
  <dimension ref="A1:AO50"/>
  <sheetViews>
    <sheetView topLeftCell="H1" workbookViewId="0">
      <pane ySplit="1" topLeftCell="A19" activePane="bottomLeft" state="frozen"/>
      <selection pane="bottomLeft" activeCell="T44" sqref="T44"/>
    </sheetView>
  </sheetViews>
  <sheetFormatPr baseColWidth="10" defaultRowHeight="15"/>
  <cols>
    <col min="2" max="2" width="15.1640625" customWidth="1"/>
    <col min="9" max="9" width="9" customWidth="1"/>
    <col min="13" max="13" width="10.5" customWidth="1"/>
    <col min="14" max="14" width="11.33203125" customWidth="1"/>
    <col min="16" max="18" width="13.1640625" customWidth="1"/>
    <col min="25" max="25" width="9.6640625" customWidth="1"/>
    <col min="26" max="26" width="12.83203125" customWidth="1"/>
    <col min="27" max="27" width="10.83203125" style="42"/>
    <col min="31" max="31" width="2.5" style="214" customWidth="1"/>
    <col min="32" max="32" width="10.83203125" style="3"/>
    <col min="34" max="34" width="13.6640625" customWidth="1"/>
  </cols>
  <sheetData>
    <row r="1" spans="1:41" s="39" customFormat="1" ht="71" customHeight="1" thickBot="1">
      <c r="A1" s="275" t="s">
        <v>0</v>
      </c>
      <c r="B1" s="276" t="s">
        <v>1</v>
      </c>
      <c r="C1" s="277" t="s">
        <v>2</v>
      </c>
      <c r="D1" s="276" t="s">
        <v>3</v>
      </c>
      <c r="E1" s="276" t="s">
        <v>4</v>
      </c>
      <c r="F1" s="276" t="s">
        <v>5</v>
      </c>
      <c r="G1" s="276" t="s">
        <v>6</v>
      </c>
      <c r="H1" s="276" t="s">
        <v>32</v>
      </c>
      <c r="I1" s="276" t="s">
        <v>34</v>
      </c>
      <c r="J1" s="276" t="s">
        <v>202</v>
      </c>
      <c r="K1" s="276" t="s">
        <v>201</v>
      </c>
      <c r="L1" s="276" t="s">
        <v>200</v>
      </c>
      <c r="M1" s="276" t="s">
        <v>194</v>
      </c>
      <c r="N1" s="276" t="s">
        <v>203</v>
      </c>
      <c r="O1" s="278" t="s">
        <v>33</v>
      </c>
      <c r="P1" s="279" t="s">
        <v>204</v>
      </c>
      <c r="Q1" s="279" t="s">
        <v>205</v>
      </c>
      <c r="R1" s="295" t="s">
        <v>206</v>
      </c>
      <c r="S1" s="280" t="s">
        <v>7</v>
      </c>
      <c r="T1" s="281" t="s">
        <v>8</v>
      </c>
      <c r="U1" s="278" t="s">
        <v>9</v>
      </c>
      <c r="V1" s="281" t="s">
        <v>10</v>
      </c>
      <c r="W1" s="281" t="s">
        <v>11</v>
      </c>
      <c r="X1" s="281" t="s">
        <v>12</v>
      </c>
      <c r="Y1" s="281" t="s">
        <v>13</v>
      </c>
      <c r="Z1" s="281" t="s">
        <v>14</v>
      </c>
      <c r="AA1" s="282" t="s">
        <v>15</v>
      </c>
      <c r="AB1" s="281" t="s">
        <v>16</v>
      </c>
      <c r="AC1" s="281" t="s">
        <v>17</v>
      </c>
      <c r="AD1" s="283" t="s">
        <v>18</v>
      </c>
      <c r="AE1" s="217"/>
      <c r="AF1" s="49"/>
      <c r="AH1" s="49"/>
      <c r="AI1" s="49"/>
      <c r="AJ1" s="49"/>
      <c r="AK1" s="49"/>
      <c r="AL1" s="49"/>
      <c r="AM1" s="49"/>
      <c r="AN1" s="49"/>
      <c r="AO1" s="49"/>
    </row>
    <row r="2" spans="1:41" ht="16">
      <c r="A2" s="50" t="s">
        <v>19</v>
      </c>
      <c r="B2" s="51">
        <v>42444.523611111108</v>
      </c>
      <c r="C2" s="52">
        <v>0.59399999999999997</v>
      </c>
      <c r="D2" s="52">
        <v>7.34</v>
      </c>
      <c r="E2" s="52">
        <v>30.5</v>
      </c>
      <c r="F2" s="53">
        <v>2.5</v>
      </c>
      <c r="G2" s="53">
        <v>0.3</v>
      </c>
      <c r="H2" s="53"/>
      <c r="I2" s="53"/>
      <c r="J2" s="270"/>
      <c r="K2" s="270"/>
      <c r="L2" s="270"/>
      <c r="M2" s="54"/>
      <c r="N2" s="54"/>
      <c r="O2" s="54"/>
      <c r="P2" s="54"/>
      <c r="Q2" s="297"/>
      <c r="R2" s="54"/>
      <c r="S2" s="55">
        <v>0</v>
      </c>
      <c r="T2" s="56">
        <v>0</v>
      </c>
      <c r="U2" s="57">
        <v>0</v>
      </c>
      <c r="V2" s="58" t="s">
        <v>20</v>
      </c>
      <c r="W2" s="58" t="s">
        <v>20</v>
      </c>
      <c r="X2" s="58" t="s">
        <v>20</v>
      </c>
      <c r="Y2" s="58" t="s">
        <v>20</v>
      </c>
      <c r="Z2" s="58">
        <v>0</v>
      </c>
      <c r="AA2" s="59" t="s">
        <v>20</v>
      </c>
      <c r="AB2" s="58" t="s">
        <v>20</v>
      </c>
      <c r="AC2" s="60" t="s">
        <v>20</v>
      </c>
      <c r="AD2" s="61" t="s">
        <v>20</v>
      </c>
      <c r="AG2" s="3"/>
      <c r="AH2" s="3"/>
      <c r="AI2" s="3"/>
      <c r="AJ2" s="3"/>
      <c r="AK2" s="3"/>
      <c r="AL2" s="3"/>
      <c r="AM2" s="3"/>
      <c r="AN2" s="3"/>
      <c r="AO2" s="3"/>
    </row>
    <row r="3" spans="1:41" ht="16">
      <c r="A3" s="62" t="s">
        <v>19</v>
      </c>
      <c r="B3" s="63">
        <v>42445.430555555555</v>
      </c>
      <c r="C3" s="64">
        <v>0.59</v>
      </c>
      <c r="D3" s="64">
        <v>7.19</v>
      </c>
      <c r="E3" s="64">
        <v>30.6</v>
      </c>
      <c r="F3" s="65">
        <v>2</v>
      </c>
      <c r="G3" s="65">
        <v>0.3</v>
      </c>
      <c r="H3" s="66">
        <v>0.22</v>
      </c>
      <c r="I3" s="66"/>
      <c r="J3" s="73"/>
      <c r="K3" s="73"/>
      <c r="L3" s="73"/>
      <c r="M3" s="3"/>
      <c r="N3" s="3"/>
      <c r="O3" s="3"/>
      <c r="P3" s="3"/>
      <c r="Q3" s="298"/>
      <c r="R3" s="3"/>
      <c r="S3" s="4">
        <f t="shared" ref="S3:S12" si="0">B3-$B$2</f>
        <v>0.90694444444670808</v>
      </c>
      <c r="T3" s="67">
        <f t="shared" ref="T3:T12" si="1">B3-B2</f>
        <v>0.90694444444670808</v>
      </c>
      <c r="U3" s="5">
        <f t="shared" ref="U3:U12" si="2">(H3/G3)+U2</f>
        <v>0.73333333333333339</v>
      </c>
      <c r="V3" s="68">
        <f t="shared" ref="V3:V12" si="3">H3/(24*T3)</f>
        <v>1.0107197549745064E-2</v>
      </c>
      <c r="W3" s="68">
        <f t="shared" ref="W3:W12" si="4">V3/G3</f>
        <v>3.3690658499150213E-2</v>
      </c>
      <c r="X3" s="68">
        <f t="shared" ref="X3:X12" si="5">(C3-C2)/(24*(S3-S2))</f>
        <v>-1.8376722817718317E-4</v>
      </c>
      <c r="Y3" s="68">
        <f t="shared" ref="Y3:Y12" si="6">(X3*G3+V3*C3)/G3</f>
        <v>1.9693721286321443E-2</v>
      </c>
      <c r="Z3" s="68">
        <f t="shared" ref="Z3:Z12" si="7">Y3/C3</f>
        <v>3.3379188620883807E-2</v>
      </c>
      <c r="AA3" s="69">
        <f>(1/Z3)/24</f>
        <v>1.2482827890129651</v>
      </c>
      <c r="AB3" s="68">
        <f>Z3-W3</f>
        <v>-3.1146987826640576E-4</v>
      </c>
      <c r="AC3" s="70">
        <f>(AB3/W3)</f>
        <v>-9.2449922958395738E-3</v>
      </c>
      <c r="AD3" s="71" t="s">
        <v>20</v>
      </c>
      <c r="AG3" s="3"/>
      <c r="AH3" s="3"/>
      <c r="AI3" s="3"/>
      <c r="AJ3" s="3"/>
      <c r="AK3" s="3"/>
      <c r="AL3" s="3"/>
      <c r="AM3" s="3"/>
      <c r="AN3" s="3"/>
      <c r="AO3" s="3"/>
    </row>
    <row r="4" spans="1:41" ht="16">
      <c r="A4" s="62" t="s">
        <v>19</v>
      </c>
      <c r="B4" s="72">
        <v>42445.769444444442</v>
      </c>
      <c r="C4" s="64">
        <v>0.37</v>
      </c>
      <c r="D4" s="73">
        <v>7.34</v>
      </c>
      <c r="E4" s="65">
        <v>30.4</v>
      </c>
      <c r="F4" s="65">
        <v>2</v>
      </c>
      <c r="G4" s="74">
        <v>0.3</v>
      </c>
      <c r="H4" s="66">
        <v>0.09</v>
      </c>
      <c r="I4" s="66"/>
      <c r="J4" s="73"/>
      <c r="K4" s="73"/>
      <c r="L4" s="73"/>
      <c r="M4" s="3"/>
      <c r="N4" s="3"/>
      <c r="O4" s="3"/>
      <c r="P4" s="3"/>
      <c r="Q4" s="298"/>
      <c r="R4" s="3"/>
      <c r="S4" s="4">
        <f t="shared" si="0"/>
        <v>1.2458333333343035</v>
      </c>
      <c r="T4" s="67">
        <f t="shared" si="1"/>
        <v>0.33888888888759539</v>
      </c>
      <c r="U4" s="5">
        <f t="shared" si="2"/>
        <v>1.0333333333333334</v>
      </c>
      <c r="V4" s="68">
        <f t="shared" si="3"/>
        <v>1.106557377053404E-2</v>
      </c>
      <c r="W4" s="68">
        <f t="shared" si="4"/>
        <v>3.6885245901780134E-2</v>
      </c>
      <c r="X4" s="68">
        <f t="shared" si="5"/>
        <v>-2.7049180327972093E-2</v>
      </c>
      <c r="Y4" s="68">
        <f t="shared" si="6"/>
        <v>-1.3401639344313447E-2</v>
      </c>
      <c r="Z4" s="68">
        <f t="shared" si="7"/>
        <v>-3.6220646876522829E-2</v>
      </c>
      <c r="AA4" s="69">
        <f>(1/Z4)/24</f>
        <v>-1.1503567787927551</v>
      </c>
      <c r="AB4" s="68">
        <f>Z4-W4</f>
        <v>-7.3105892778302956E-2</v>
      </c>
      <c r="AC4" s="70">
        <f>(AB4/W4)</f>
        <v>-1.9819819819819817</v>
      </c>
      <c r="AD4" s="71" t="s">
        <v>20</v>
      </c>
      <c r="AG4" s="3"/>
      <c r="AH4" s="3"/>
      <c r="AI4" s="3"/>
      <c r="AJ4" s="3"/>
      <c r="AK4" s="3"/>
      <c r="AL4" s="3"/>
      <c r="AM4" s="3"/>
      <c r="AN4" s="3"/>
      <c r="AO4" s="3"/>
    </row>
    <row r="5" spans="1:41" ht="16">
      <c r="A5" s="62" t="s">
        <v>19</v>
      </c>
      <c r="B5" s="72">
        <v>42446.342361111114</v>
      </c>
      <c r="C5" s="75">
        <v>0.27900000000000003</v>
      </c>
      <c r="D5" s="76">
        <v>7.1</v>
      </c>
      <c r="E5" s="65">
        <v>30.4</v>
      </c>
      <c r="F5" s="65">
        <v>2</v>
      </c>
      <c r="G5" s="74">
        <v>0.32</v>
      </c>
      <c r="H5" s="66">
        <v>0.16</v>
      </c>
      <c r="I5" s="66"/>
      <c r="J5" s="73"/>
      <c r="K5" s="73"/>
      <c r="L5" s="73"/>
      <c r="M5" s="3"/>
      <c r="N5" s="3"/>
      <c r="O5" s="3"/>
      <c r="P5" s="3"/>
      <c r="Q5" s="298"/>
      <c r="R5" s="3"/>
      <c r="S5" s="4">
        <f t="shared" si="0"/>
        <v>1.8187500000058208</v>
      </c>
      <c r="T5" s="67">
        <f t="shared" si="1"/>
        <v>0.57291666667151731</v>
      </c>
      <c r="U5" s="5">
        <f t="shared" si="2"/>
        <v>1.5333333333333334</v>
      </c>
      <c r="V5" s="68">
        <f t="shared" si="3"/>
        <v>1.1636363636265117E-2</v>
      </c>
      <c r="W5" s="68">
        <f t="shared" si="4"/>
        <v>3.636363636332849E-2</v>
      </c>
      <c r="X5" s="68">
        <f t="shared" si="5"/>
        <v>-6.6181818181257823E-3</v>
      </c>
      <c r="Y5" s="68">
        <f t="shared" si="6"/>
        <v>3.5272727272428676E-3</v>
      </c>
      <c r="Z5" s="68">
        <f t="shared" si="7"/>
        <v>1.2642554577931423E-2</v>
      </c>
      <c r="AA5" s="69">
        <f>(1/Z5)/24</f>
        <v>3.2957474227083128</v>
      </c>
      <c r="AB5" s="68">
        <f t="shared" ref="AB5:AB12" si="8">Z5-W5</f>
        <v>-2.3721081785397065E-2</v>
      </c>
      <c r="AC5" s="70">
        <f t="shared" ref="AC5:AC12" si="9">(AB5/W5)</f>
        <v>-0.65232974910394226</v>
      </c>
      <c r="AD5" s="71" t="s">
        <v>20</v>
      </c>
      <c r="AG5" s="3"/>
      <c r="AH5" s="3"/>
      <c r="AI5" s="3"/>
      <c r="AJ5" s="3"/>
      <c r="AK5" s="3"/>
      <c r="AL5" s="3"/>
      <c r="AM5" s="3"/>
      <c r="AN5" s="3"/>
      <c r="AO5" s="3"/>
    </row>
    <row r="6" spans="1:41" ht="16">
      <c r="A6" s="62" t="s">
        <v>19</v>
      </c>
      <c r="B6" s="72">
        <v>42446.901388888888</v>
      </c>
      <c r="C6" s="75">
        <v>0.109</v>
      </c>
      <c r="D6" s="76">
        <v>7.28</v>
      </c>
      <c r="E6" s="64">
        <v>30.4</v>
      </c>
      <c r="F6" s="65">
        <v>2</v>
      </c>
      <c r="G6" s="74">
        <v>0.33</v>
      </c>
      <c r="H6" s="66">
        <v>0.16300000000000001</v>
      </c>
      <c r="I6" s="66"/>
      <c r="J6" s="73"/>
      <c r="K6" s="73"/>
      <c r="L6" s="73"/>
      <c r="M6" s="3"/>
      <c r="N6" s="3"/>
      <c r="O6" s="3"/>
      <c r="P6" s="3"/>
      <c r="Q6" s="298"/>
      <c r="R6" s="3"/>
      <c r="S6" s="4">
        <f t="shared" si="0"/>
        <v>2.3777777777795563</v>
      </c>
      <c r="T6" s="67">
        <f t="shared" si="1"/>
        <v>0.55902777777373558</v>
      </c>
      <c r="U6" s="5">
        <f t="shared" si="2"/>
        <v>2.0272727272727273</v>
      </c>
      <c r="V6" s="68">
        <f t="shared" si="3"/>
        <v>1.2149068323069214E-2</v>
      </c>
      <c r="W6" s="68">
        <f t="shared" si="4"/>
        <v>3.6815358554755193E-2</v>
      </c>
      <c r="X6" s="68">
        <f t="shared" si="5"/>
        <v>-1.2670807453507772E-2</v>
      </c>
      <c r="Y6" s="68">
        <f t="shared" si="6"/>
        <v>-8.6579333710394574E-3</v>
      </c>
      <c r="Z6" s="68">
        <f t="shared" si="7"/>
        <v>-7.9430581385683097E-2</v>
      </c>
      <c r="AA6" s="69"/>
      <c r="AB6" s="68">
        <f>Z6-W6</f>
        <v>-0.11624593994043829</v>
      </c>
      <c r="AC6" s="70">
        <f>(AB6/W6)</f>
        <v>-3.1575392581752699</v>
      </c>
      <c r="AD6" s="71" t="s">
        <v>20</v>
      </c>
      <c r="AG6" s="3"/>
      <c r="AH6" s="3"/>
      <c r="AI6" s="3"/>
      <c r="AJ6" s="3"/>
      <c r="AK6" s="3"/>
      <c r="AL6" s="3"/>
      <c r="AM6" s="3"/>
      <c r="AN6" s="3"/>
      <c r="AO6" s="3"/>
    </row>
    <row r="7" spans="1:41" ht="16">
      <c r="A7" s="62" t="s">
        <v>19</v>
      </c>
      <c r="B7" s="63">
        <v>42447.479166666664</v>
      </c>
      <c r="C7" s="64">
        <v>0.41299999999999998</v>
      </c>
      <c r="D7" s="64">
        <v>7.14</v>
      </c>
      <c r="E7" s="65">
        <v>30.5</v>
      </c>
      <c r="F7" s="65">
        <v>2</v>
      </c>
      <c r="G7" s="74">
        <v>0.33</v>
      </c>
      <c r="H7" s="66">
        <v>0.17</v>
      </c>
      <c r="I7" s="66"/>
      <c r="J7" s="66"/>
      <c r="K7" s="66"/>
      <c r="L7" s="66"/>
      <c r="M7" s="66"/>
      <c r="N7" s="66"/>
      <c r="O7" s="66"/>
      <c r="P7" s="66"/>
      <c r="Q7" s="95"/>
      <c r="R7" s="66"/>
      <c r="S7" s="4">
        <f t="shared" si="0"/>
        <v>2.9555555555562023</v>
      </c>
      <c r="T7" s="67">
        <f t="shared" si="1"/>
        <v>0.57777777777664596</v>
      </c>
      <c r="U7" s="5">
        <f t="shared" si="2"/>
        <v>2.5424242424242425</v>
      </c>
      <c r="V7" s="68">
        <f t="shared" si="3"/>
        <v>1.2259615384639402E-2</v>
      </c>
      <c r="W7" s="68">
        <f t="shared" si="4"/>
        <v>3.715034965042243E-2</v>
      </c>
      <c r="X7" s="68">
        <f t="shared" si="5"/>
        <v>2.1923076923119868E-2</v>
      </c>
      <c r="Y7" s="68">
        <f t="shared" si="6"/>
        <v>3.7266171328744331E-2</v>
      </c>
      <c r="Z7" s="68">
        <f t="shared" si="7"/>
        <v>9.0232860360155764E-2</v>
      </c>
      <c r="AA7" s="69">
        <f t="shared" ref="AA7:AA12" si="10">(1/Z7)/24</f>
        <v>0.46176821282577302</v>
      </c>
      <c r="AB7" s="68">
        <f t="shared" si="8"/>
        <v>5.3082510709733334E-2</v>
      </c>
      <c r="AC7" s="70">
        <f t="shared" si="9"/>
        <v>1.4288562882780227</v>
      </c>
      <c r="AD7" s="71" t="s">
        <v>20</v>
      </c>
      <c r="AG7" s="3"/>
      <c r="AH7" s="3"/>
      <c r="AI7" s="3"/>
      <c r="AJ7" s="3"/>
      <c r="AK7" s="3"/>
      <c r="AL7" s="3"/>
      <c r="AM7" s="3"/>
      <c r="AN7" s="3"/>
      <c r="AO7" s="3"/>
    </row>
    <row r="8" spans="1:41" ht="16">
      <c r="A8" s="62" t="s">
        <v>19</v>
      </c>
      <c r="B8" s="72">
        <v>42447.751388888886</v>
      </c>
      <c r="C8" s="64">
        <v>0.49099999999999999</v>
      </c>
      <c r="D8" s="65">
        <v>7.14</v>
      </c>
      <c r="E8" s="64">
        <v>30.4</v>
      </c>
      <c r="F8" s="65">
        <v>2</v>
      </c>
      <c r="G8" s="14">
        <v>0.3</v>
      </c>
      <c r="H8" s="66">
        <v>0.104</v>
      </c>
      <c r="I8" s="66"/>
      <c r="J8" s="66"/>
      <c r="K8" s="66"/>
      <c r="L8" s="66"/>
      <c r="M8" s="66"/>
      <c r="N8" s="66"/>
      <c r="O8" s="66"/>
      <c r="P8" s="66"/>
      <c r="Q8" s="95"/>
      <c r="R8" s="66"/>
      <c r="S8" s="4">
        <f t="shared" si="0"/>
        <v>3.2277777777781012</v>
      </c>
      <c r="T8" s="67">
        <f t="shared" si="1"/>
        <v>0.27222222222189885</v>
      </c>
      <c r="U8" s="5">
        <f t="shared" si="2"/>
        <v>2.8890909090909092</v>
      </c>
      <c r="V8" s="68">
        <f t="shared" si="3"/>
        <v>1.5918367346957684E-2</v>
      </c>
      <c r="W8" s="68">
        <f t="shared" si="4"/>
        <v>5.3061224489858949E-2</v>
      </c>
      <c r="X8" s="68">
        <f t="shared" si="5"/>
        <v>1.1938775510218266E-2</v>
      </c>
      <c r="Y8" s="68">
        <f t="shared" si="6"/>
        <v>3.7991836734739014E-2</v>
      </c>
      <c r="Z8" s="68">
        <f t="shared" si="7"/>
        <v>7.7376449561586583E-2</v>
      </c>
      <c r="AA8" s="69">
        <f t="shared" si="10"/>
        <v>0.53849287351318353</v>
      </c>
      <c r="AB8" s="68">
        <f t="shared" si="8"/>
        <v>2.4315225071727634E-2</v>
      </c>
      <c r="AC8" s="70">
        <f t="shared" si="9"/>
        <v>0.45824847250509182</v>
      </c>
      <c r="AD8" s="71" t="s">
        <v>20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ht="16">
      <c r="A9" s="62" t="s">
        <v>19</v>
      </c>
      <c r="B9" s="72">
        <v>42448.352777777778</v>
      </c>
      <c r="C9" s="64">
        <v>0.58599999999999997</v>
      </c>
      <c r="D9" s="64">
        <v>7.3</v>
      </c>
      <c r="E9" s="65">
        <v>30.6</v>
      </c>
      <c r="F9" s="65">
        <v>2</v>
      </c>
      <c r="G9" s="65">
        <v>0.3</v>
      </c>
      <c r="H9" s="6">
        <v>0.188</v>
      </c>
      <c r="I9" s="6"/>
      <c r="J9" s="6"/>
      <c r="K9" s="6"/>
      <c r="L9" s="6"/>
      <c r="M9" s="6"/>
      <c r="N9" s="6"/>
      <c r="O9" s="6"/>
      <c r="P9" s="6"/>
      <c r="Q9" s="6"/>
      <c r="R9" s="6"/>
      <c r="S9" s="4">
        <f t="shared" si="0"/>
        <v>3.8291666666700621</v>
      </c>
      <c r="T9" s="67">
        <f t="shared" si="1"/>
        <v>0.60138888889196096</v>
      </c>
      <c r="U9" s="5">
        <f t="shared" si="2"/>
        <v>3.5157575757575756</v>
      </c>
      <c r="V9" s="68">
        <f t="shared" si="3"/>
        <v>1.3025404156977342E-2</v>
      </c>
      <c r="W9" s="68">
        <f t="shared" si="4"/>
        <v>4.3418013856591144E-2</v>
      </c>
      <c r="X9" s="68">
        <f t="shared" si="5"/>
        <v>6.5819861431534428E-3</v>
      </c>
      <c r="Y9" s="68">
        <f t="shared" si="6"/>
        <v>3.2024942263115849E-2</v>
      </c>
      <c r="Z9" s="68">
        <f t="shared" si="7"/>
        <v>5.4650072121358105E-2</v>
      </c>
      <c r="AA9" s="69">
        <f t="shared" si="10"/>
        <v>0.76242656321001778</v>
      </c>
      <c r="AB9" s="68">
        <f t="shared" si="8"/>
        <v>1.1232058264766961E-2</v>
      </c>
      <c r="AC9" s="70">
        <f t="shared" si="9"/>
        <v>0.25869581003558184</v>
      </c>
      <c r="AD9" s="71" t="s">
        <v>20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ht="16">
      <c r="A10" s="77" t="s">
        <v>19</v>
      </c>
      <c r="B10" s="78">
        <v>42448.770138888889</v>
      </c>
      <c r="C10" s="14">
        <v>0.61</v>
      </c>
      <c r="D10" s="14">
        <v>7.31</v>
      </c>
      <c r="E10" s="74">
        <v>30.6</v>
      </c>
      <c r="F10" s="74">
        <v>2</v>
      </c>
      <c r="G10" s="74">
        <v>0.3</v>
      </c>
      <c r="H10" s="6">
        <v>0.11600000000000001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4">
        <f t="shared" si="0"/>
        <v>4.2465277777810115</v>
      </c>
      <c r="T10" s="67">
        <f t="shared" si="1"/>
        <v>0.41736111111094942</v>
      </c>
      <c r="U10" s="5">
        <f t="shared" si="2"/>
        <v>3.9024242424242424</v>
      </c>
      <c r="V10" s="68">
        <f t="shared" si="3"/>
        <v>1.1580698835279029E-2</v>
      </c>
      <c r="W10" s="68">
        <f t="shared" si="4"/>
        <v>3.8602329450930097E-2</v>
      </c>
      <c r="X10" s="68">
        <f t="shared" si="5"/>
        <v>2.3960066555749737E-3</v>
      </c>
      <c r="Y10" s="68">
        <f t="shared" si="6"/>
        <v>2.5943427620642331E-2</v>
      </c>
      <c r="Z10" s="68">
        <f t="shared" si="7"/>
        <v>4.2530209214167759E-2</v>
      </c>
      <c r="AA10" s="69">
        <f t="shared" si="10"/>
        <v>0.97969578416243885</v>
      </c>
      <c r="AB10" s="68">
        <f t="shared" si="8"/>
        <v>3.9278797632376627E-3</v>
      </c>
      <c r="AC10" s="70">
        <f t="shared" si="9"/>
        <v>0.10175240248728107</v>
      </c>
      <c r="AD10" s="71" t="s">
        <v>20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6">
      <c r="A11" s="79" t="s">
        <v>19</v>
      </c>
      <c r="B11" s="80">
        <v>42449.753472222219</v>
      </c>
      <c r="C11" s="15">
        <v>0.56899999999999995</v>
      </c>
      <c r="D11" s="15">
        <v>7.3</v>
      </c>
      <c r="E11" s="81">
        <v>30.6</v>
      </c>
      <c r="F11" s="81">
        <v>2</v>
      </c>
      <c r="G11" s="81">
        <v>0.3</v>
      </c>
      <c r="H11" s="82">
        <v>0.26500000000000001</v>
      </c>
      <c r="I11" s="83">
        <f xml:space="preserve"> (900000000000*(C11) - 9000000000)</f>
        <v>503099999999.99994</v>
      </c>
      <c r="J11" s="263">
        <v>15.85</v>
      </c>
      <c r="K11" s="263">
        <f>J11*H11</f>
        <v>4.2002500000000005</v>
      </c>
      <c r="L11" s="263">
        <f>K11/T11</f>
        <v>4.2714406779808511</v>
      </c>
      <c r="M11" s="84">
        <v>1.9746625</v>
      </c>
      <c r="N11" s="84">
        <f>M11/T11</f>
        <v>2.0081313559391374</v>
      </c>
      <c r="O11" s="84">
        <f>M11/(H11)</f>
        <v>7.4515566037735841</v>
      </c>
      <c r="P11" s="84">
        <f>((N11*($H11/$T11))/($I11*$G11))*(10^12)</f>
        <v>3.5855985050362937</v>
      </c>
      <c r="Q11" s="263">
        <f>((L11*($H11/$T11))/($I11*$G11))*(10^12)</f>
        <v>7.6268274303982055</v>
      </c>
      <c r="R11" s="289">
        <f>AVERAGE(P11:Q11)</f>
        <v>5.6062129677172496</v>
      </c>
      <c r="S11" s="7">
        <f t="shared" si="0"/>
        <v>5.2298611111109494</v>
      </c>
      <c r="T11" s="85">
        <f t="shared" si="1"/>
        <v>0.98333333332993789</v>
      </c>
      <c r="U11" s="8">
        <f t="shared" si="2"/>
        <v>4.7857575757575761</v>
      </c>
      <c r="V11" s="86">
        <f t="shared" si="3"/>
        <v>1.1228813559360808E-2</v>
      </c>
      <c r="W11" s="86">
        <f t="shared" si="4"/>
        <v>3.7429378531202699E-2</v>
      </c>
      <c r="X11" s="86">
        <f t="shared" si="5"/>
        <v>-1.7372881355992207E-3</v>
      </c>
      <c r="Y11" s="86">
        <f t="shared" si="6"/>
        <v>1.9560028248655111E-2</v>
      </c>
      <c r="Z11" s="86">
        <f t="shared" si="7"/>
        <v>3.4376148064420235E-2</v>
      </c>
      <c r="AA11" s="87">
        <f t="shared" si="10"/>
        <v>1.2120807307608794</v>
      </c>
      <c r="AB11" s="86">
        <f t="shared" si="8"/>
        <v>-3.0532304667824639E-3</v>
      </c>
      <c r="AC11" s="88">
        <f>(AB11/W11)</f>
        <v>-8.1573100772623378E-2</v>
      </c>
      <c r="AD11" s="89" t="s">
        <v>21</v>
      </c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6">
      <c r="A12" s="79" t="s">
        <v>19</v>
      </c>
      <c r="B12" s="90">
        <v>42450.696527777778</v>
      </c>
      <c r="C12" s="81">
        <v>0.57799999999999996</v>
      </c>
      <c r="D12" s="15">
        <v>7.22</v>
      </c>
      <c r="E12" s="81">
        <v>30.6</v>
      </c>
      <c r="F12" s="81">
        <v>2</v>
      </c>
      <c r="G12" s="81">
        <v>0.3</v>
      </c>
      <c r="H12" s="9">
        <v>0.26600000000000001</v>
      </c>
      <c r="I12" s="83">
        <f xml:space="preserve"> 900000000000*(C12) - 9000000000</f>
        <v>511199999999.99994</v>
      </c>
      <c r="J12" s="104">
        <v>16.2</v>
      </c>
      <c r="K12" s="263">
        <f>J12*H12</f>
        <v>4.3091999999999997</v>
      </c>
      <c r="L12" s="263">
        <f>K12/T12</f>
        <v>4.5694020618384341</v>
      </c>
      <c r="M12" s="84">
        <v>3.3691045000000006</v>
      </c>
      <c r="N12" s="84">
        <f>M12/T12</f>
        <v>3.5725408541838743</v>
      </c>
      <c r="O12" s="84">
        <f>M12/(H12)</f>
        <v>12.665806390977446</v>
      </c>
      <c r="P12" s="84">
        <f>((N12*($H12/$T12))/($I12*$G12))*(10^12)</f>
        <v>6.5706670760599772</v>
      </c>
      <c r="Q12" s="263">
        <f>((L12*($H12/$T12))/($I12*$G12))*(10^12)</f>
        <v>8.4041081433234393</v>
      </c>
      <c r="R12" s="289">
        <f>AVERAGE(P12:Q12)</f>
        <v>7.4873876096917087</v>
      </c>
      <c r="S12" s="7">
        <f t="shared" si="0"/>
        <v>6.1729166666700621</v>
      </c>
      <c r="T12" s="85">
        <f t="shared" si="1"/>
        <v>0.94305555555911269</v>
      </c>
      <c r="U12" s="8">
        <f t="shared" si="2"/>
        <v>5.6724242424242428</v>
      </c>
      <c r="V12" s="86">
        <f t="shared" si="3"/>
        <v>1.17525773195433E-2</v>
      </c>
      <c r="W12" s="86">
        <f t="shared" si="4"/>
        <v>3.9175257731810999E-2</v>
      </c>
      <c r="X12" s="86">
        <f t="shared" si="5"/>
        <v>3.9764359351838265E-4</v>
      </c>
      <c r="Y12" s="86">
        <f t="shared" si="6"/>
        <v>2.3040942562505138E-2</v>
      </c>
      <c r="Z12" s="86">
        <f t="shared" si="7"/>
        <v>3.986322242647948E-2</v>
      </c>
      <c r="AA12" s="87">
        <f t="shared" si="10"/>
        <v>1.045240804190211</v>
      </c>
      <c r="AB12" s="86">
        <f t="shared" si="8"/>
        <v>6.879646946684817E-4</v>
      </c>
      <c r="AC12" s="88">
        <f t="shared" si="9"/>
        <v>1.7561204048182746E-2</v>
      </c>
      <c r="AD12" s="89" t="s">
        <v>22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6">
      <c r="A13" s="91" t="s">
        <v>19</v>
      </c>
      <c r="B13" s="10">
        <v>42455.763194444444</v>
      </c>
      <c r="C13" s="11">
        <v>0.112</v>
      </c>
      <c r="D13" s="12">
        <v>7.16</v>
      </c>
      <c r="E13" s="12">
        <v>30.6</v>
      </c>
      <c r="F13" s="12">
        <v>2.1</v>
      </c>
      <c r="G13" s="13"/>
      <c r="H13" s="92" t="s">
        <v>20</v>
      </c>
      <c r="I13" s="92"/>
      <c r="J13" s="271"/>
      <c r="K13" s="271"/>
      <c r="L13" s="271"/>
      <c r="M13" s="93"/>
      <c r="N13" s="93"/>
      <c r="O13" s="93"/>
      <c r="P13" s="93"/>
      <c r="Q13" s="299"/>
      <c r="R13" s="301"/>
      <c r="S13" s="1"/>
      <c r="T13" s="67">
        <v>0</v>
      </c>
      <c r="U13" s="2"/>
      <c r="V13" s="68" t="s">
        <v>20</v>
      </c>
      <c r="W13" s="68" t="s">
        <v>20</v>
      </c>
      <c r="X13" s="68" t="s">
        <v>20</v>
      </c>
      <c r="Y13" s="68" t="s">
        <v>20</v>
      </c>
      <c r="Z13" s="68">
        <v>0</v>
      </c>
      <c r="AA13" s="69"/>
      <c r="AB13" s="68" t="s">
        <v>20</v>
      </c>
      <c r="AC13" s="70" t="s">
        <v>20</v>
      </c>
      <c r="AD13" s="71" t="s">
        <v>20</v>
      </c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6">
      <c r="A14" s="77" t="s">
        <v>19</v>
      </c>
      <c r="B14" s="78">
        <v>42461.464583333334</v>
      </c>
      <c r="C14" s="14">
        <v>0.60399999999999998</v>
      </c>
      <c r="D14" s="74">
        <v>7.22</v>
      </c>
      <c r="E14" s="74">
        <v>30.5</v>
      </c>
      <c r="F14" s="74">
        <v>2.1</v>
      </c>
      <c r="G14" s="74">
        <v>0.30499999999999999</v>
      </c>
      <c r="H14" s="92">
        <v>0.19500000000000001</v>
      </c>
      <c r="I14" s="92"/>
      <c r="J14" s="271"/>
      <c r="K14" s="271"/>
      <c r="L14" s="271"/>
      <c r="M14" s="93"/>
      <c r="N14" s="93"/>
      <c r="O14" s="93"/>
      <c r="P14" s="93"/>
      <c r="Q14" s="299"/>
      <c r="R14" s="301"/>
      <c r="S14" s="4">
        <f t="shared" ref="S14:S23" si="11">B14-$B$2</f>
        <v>16.940972222226264</v>
      </c>
      <c r="T14" s="67">
        <f t="shared" ref="T14:T23" si="12">B14-B13</f>
        <v>5.7013888888905058</v>
      </c>
      <c r="U14" s="5">
        <f t="shared" ref="U14:U23" si="13">(H14/G14)+U13</f>
        <v>0.63934426229508201</v>
      </c>
      <c r="V14" s="68">
        <f t="shared" ref="V14:V23" si="14">H14/(24*T14)</f>
        <v>1.4250913520093402E-3</v>
      </c>
      <c r="W14" s="68">
        <f t="shared" ref="W14:W23" si="15">V14/G14</f>
        <v>4.6724306623257056E-3</v>
      </c>
      <c r="X14" s="68">
        <f t="shared" ref="X14:X23" si="16">(C14-C13)/(24*(S14-S13))</f>
        <v>1.2100840336131567E-3</v>
      </c>
      <c r="Y14" s="68">
        <f t="shared" ref="Y14:Y23" si="17">(X14*G14+V14*C14)/G14</f>
        <v>4.0322321536578826E-3</v>
      </c>
      <c r="Z14" s="68">
        <f t="shared" ref="Z14:Z23" si="18">Y14/C14</f>
        <v>6.6758810491024546E-3</v>
      </c>
      <c r="AA14" s="69">
        <f t="shared" ref="AA14:AA23" si="19">(1/Z14)/24</f>
        <v>6.241373439730264</v>
      </c>
      <c r="AB14" s="68">
        <f>Z14-W14</f>
        <v>2.003450386776749E-3</v>
      </c>
      <c r="AC14" s="70">
        <f>(AB14/W14)</f>
        <v>0.42878119153929406</v>
      </c>
      <c r="AD14" s="71" t="s">
        <v>20</v>
      </c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6">
      <c r="A15" s="77" t="s">
        <v>19</v>
      </c>
      <c r="B15" s="78">
        <v>42462.693749999999</v>
      </c>
      <c r="C15" s="14">
        <v>0.53300000000000003</v>
      </c>
      <c r="D15" s="74">
        <v>7.29</v>
      </c>
      <c r="E15" s="74">
        <v>30.5</v>
      </c>
      <c r="F15" s="74">
        <v>2.1</v>
      </c>
      <c r="G15" s="74">
        <v>0.3</v>
      </c>
      <c r="H15" s="92">
        <v>0.34899999999999998</v>
      </c>
      <c r="I15" s="92"/>
      <c r="J15" s="271"/>
      <c r="K15" s="271"/>
      <c r="L15" s="271"/>
      <c r="M15" s="93"/>
      <c r="N15" s="93"/>
      <c r="O15" s="93"/>
      <c r="P15" s="93"/>
      <c r="Q15" s="299"/>
      <c r="R15" s="301"/>
      <c r="S15" s="4">
        <f t="shared" si="11"/>
        <v>18.170138888890506</v>
      </c>
      <c r="T15" s="67">
        <f t="shared" si="12"/>
        <v>1.2291666666642413</v>
      </c>
      <c r="U15" s="5">
        <f t="shared" si="13"/>
        <v>1.8026775956284153</v>
      </c>
      <c r="V15" s="68">
        <f t="shared" si="14"/>
        <v>1.1830508474599613E-2</v>
      </c>
      <c r="W15" s="68">
        <f t="shared" si="15"/>
        <v>3.9435028248665377E-2</v>
      </c>
      <c r="X15" s="68">
        <f t="shared" si="16"/>
        <v>-2.4067796610216965E-3</v>
      </c>
      <c r="Y15" s="68">
        <f t="shared" si="17"/>
        <v>1.8612090395516954E-2</v>
      </c>
      <c r="Z15" s="68">
        <f t="shared" si="18"/>
        <v>3.4919494175453945E-2</v>
      </c>
      <c r="AA15" s="69">
        <f t="shared" si="19"/>
        <v>1.1932207968795703</v>
      </c>
      <c r="AB15" s="68">
        <f t="shared" ref="AB15:AB23" si="20">Z15-W15</f>
        <v>-4.5155340732114316E-3</v>
      </c>
      <c r="AC15" s="70">
        <f t="shared" ref="AC15:AC23" si="21">(AB15/W15)</f>
        <v>-0.11450566346086626</v>
      </c>
      <c r="AD15" s="71" t="s">
        <v>20</v>
      </c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6">
      <c r="A16" s="77" t="s">
        <v>19</v>
      </c>
      <c r="B16" s="78">
        <v>42463.665277777778</v>
      </c>
      <c r="C16" s="14">
        <v>0.56299999999999994</v>
      </c>
      <c r="D16" s="74">
        <v>7.15</v>
      </c>
      <c r="E16" s="74">
        <v>30.5</v>
      </c>
      <c r="F16" s="74">
        <v>2.1</v>
      </c>
      <c r="G16" s="74">
        <v>0.3</v>
      </c>
      <c r="H16" s="92">
        <v>0.27500000000000002</v>
      </c>
      <c r="I16" s="92"/>
      <c r="J16" s="271"/>
      <c r="K16" s="271"/>
      <c r="L16" s="271"/>
      <c r="M16" s="93"/>
      <c r="N16" s="93"/>
      <c r="O16" s="93"/>
      <c r="P16" s="93"/>
      <c r="Q16" s="299"/>
      <c r="R16" s="301"/>
      <c r="S16" s="4">
        <f t="shared" si="11"/>
        <v>19.141666666670062</v>
      </c>
      <c r="T16" s="67">
        <f t="shared" si="12"/>
        <v>0.97152777777955635</v>
      </c>
      <c r="U16" s="5">
        <f t="shared" si="13"/>
        <v>2.7193442622950821</v>
      </c>
      <c r="V16" s="68">
        <f t="shared" si="14"/>
        <v>1.1794138670457322E-2</v>
      </c>
      <c r="W16" s="68">
        <f t="shared" si="15"/>
        <v>3.9313795568191076E-2</v>
      </c>
      <c r="X16" s="68">
        <f t="shared" si="16"/>
        <v>1.2866333095044315E-3</v>
      </c>
      <c r="Y16" s="68">
        <f t="shared" si="17"/>
        <v>2.3420300214396006E-2</v>
      </c>
      <c r="Z16" s="68">
        <f t="shared" si="18"/>
        <v>4.1599112281342818E-2</v>
      </c>
      <c r="AA16" s="69">
        <f t="shared" si="19"/>
        <v>1.0016239381472125</v>
      </c>
      <c r="AB16" s="68">
        <f t="shared" si="20"/>
        <v>2.2853167131517416E-3</v>
      </c>
      <c r="AC16" s="70">
        <f t="shared" si="21"/>
        <v>5.8130146940093441E-2</v>
      </c>
      <c r="AD16" s="71" t="s">
        <v>20</v>
      </c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6">
      <c r="A17" s="79" t="s">
        <v>19</v>
      </c>
      <c r="B17" s="80">
        <v>42464.777083333334</v>
      </c>
      <c r="C17" s="94">
        <v>0.6</v>
      </c>
      <c r="D17" s="81">
        <v>7.07</v>
      </c>
      <c r="E17" s="81">
        <v>30.5</v>
      </c>
      <c r="F17" s="81">
        <v>2.1</v>
      </c>
      <c r="G17" s="81">
        <v>0.3</v>
      </c>
      <c r="H17" s="94">
        <v>0.30099999999999999</v>
      </c>
      <c r="I17" s="83">
        <f xml:space="preserve"> 900000000000*(C17) - 9000000000</f>
        <v>531000000000</v>
      </c>
      <c r="J17" s="104">
        <v>13.6</v>
      </c>
      <c r="K17" s="263">
        <f>J17*H17</f>
        <v>4.0935999999999995</v>
      </c>
      <c r="L17" s="263">
        <f>K17/T17</f>
        <v>3.6819387882551968</v>
      </c>
      <c r="M17" s="84">
        <v>3.4963967</v>
      </c>
      <c r="N17" s="84">
        <f>M17/T17</f>
        <v>3.144791535288614</v>
      </c>
      <c r="O17" s="84">
        <f>M17/(H17)</f>
        <v>11.615935880398672</v>
      </c>
      <c r="P17" s="84">
        <f>((N17*($H17/$T17))/($I17*$G17))*(10^12)</f>
        <v>5.3445819646411508</v>
      </c>
      <c r="Q17" s="263">
        <f>((L17*($H17/$T17))/($I17*$G17))*(10^12)</f>
        <v>6.2574652156761879</v>
      </c>
      <c r="R17" s="289">
        <f>AVERAGE(P17:Q17)</f>
        <v>5.8010235901586693</v>
      </c>
      <c r="S17" s="7">
        <f t="shared" si="11"/>
        <v>20.253472222226264</v>
      </c>
      <c r="T17" s="85">
        <f t="shared" si="12"/>
        <v>1.1118055555562023</v>
      </c>
      <c r="U17" s="8">
        <f t="shared" si="13"/>
        <v>3.7226775956284155</v>
      </c>
      <c r="V17" s="86">
        <f t="shared" si="14"/>
        <v>1.128044971891911E-2</v>
      </c>
      <c r="W17" s="86">
        <f t="shared" si="15"/>
        <v>3.7601499063063704E-2</v>
      </c>
      <c r="X17" s="86">
        <f t="shared" si="16"/>
        <v>1.3866333541528485E-3</v>
      </c>
      <c r="Y17" s="86">
        <f t="shared" si="17"/>
        <v>2.3947532791991067E-2</v>
      </c>
      <c r="Z17" s="86">
        <f t="shared" si="18"/>
        <v>3.9912554653318444E-2</v>
      </c>
      <c r="AA17" s="87">
        <f t="shared" si="19"/>
        <v>1.0439488784565281</v>
      </c>
      <c r="AB17" s="86">
        <f t="shared" si="20"/>
        <v>2.3110555902547403E-3</v>
      </c>
      <c r="AC17" s="88">
        <f t="shared" si="21"/>
        <v>6.1461794019933402E-2</v>
      </c>
      <c r="AD17" s="89" t="s">
        <v>23</v>
      </c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6">
      <c r="A18" s="77" t="s">
        <v>19</v>
      </c>
      <c r="B18" s="78">
        <v>42465.79583333333</v>
      </c>
      <c r="C18" s="14">
        <v>0.64900000000000002</v>
      </c>
      <c r="D18" s="74">
        <v>7.28</v>
      </c>
      <c r="E18" s="74">
        <v>30.5</v>
      </c>
      <c r="F18" s="74">
        <v>2.1</v>
      </c>
      <c r="G18" s="74">
        <v>0.3</v>
      </c>
      <c r="H18" s="95">
        <v>0.28000000000000003</v>
      </c>
      <c r="I18" s="95"/>
      <c r="J18" s="96"/>
      <c r="K18" s="96"/>
      <c r="L18" s="96"/>
      <c r="M18" s="96"/>
      <c r="N18" s="96"/>
      <c r="O18" s="96"/>
      <c r="P18" s="96"/>
      <c r="Q18" s="96"/>
      <c r="R18" s="302"/>
      <c r="S18" s="4">
        <f t="shared" si="11"/>
        <v>21.272222222221899</v>
      </c>
      <c r="T18" s="67">
        <f t="shared" si="12"/>
        <v>1.0187499999956344</v>
      </c>
      <c r="U18" s="5">
        <f t="shared" si="13"/>
        <v>4.6560109289617486</v>
      </c>
      <c r="V18" s="68">
        <f t="shared" si="14"/>
        <v>1.1451942740335374E-2</v>
      </c>
      <c r="W18" s="68">
        <f t="shared" si="15"/>
        <v>3.8173142467784582E-2</v>
      </c>
      <c r="X18" s="68">
        <f t="shared" si="16"/>
        <v>2.0040899795586921E-3</v>
      </c>
      <c r="Y18" s="68">
        <f t="shared" si="17"/>
        <v>2.6778459441150888E-2</v>
      </c>
      <c r="Z18" s="68">
        <f t="shared" si="18"/>
        <v>4.1261108537982878E-2</v>
      </c>
      <c r="AA18" s="69">
        <f t="shared" si="19"/>
        <v>1.009829065263975</v>
      </c>
      <c r="AB18" s="68">
        <f t="shared" si="20"/>
        <v>3.0879660701982961E-3</v>
      </c>
      <c r="AC18" s="70">
        <f t="shared" si="21"/>
        <v>8.0893682588597984E-2</v>
      </c>
      <c r="AD18" s="71" t="s">
        <v>20</v>
      </c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6">
      <c r="A19" s="79" t="s">
        <v>19</v>
      </c>
      <c r="B19" s="80">
        <v>42466.556944444441</v>
      </c>
      <c r="C19" s="15">
        <v>0.67200000000000004</v>
      </c>
      <c r="D19" s="81">
        <v>7.22</v>
      </c>
      <c r="E19" s="81">
        <v>30.6</v>
      </c>
      <c r="F19" s="81">
        <v>2.1</v>
      </c>
      <c r="G19" s="81">
        <v>0.3</v>
      </c>
      <c r="H19" s="94">
        <v>0.222</v>
      </c>
      <c r="I19" s="83">
        <f xml:space="preserve"> 900000000000*(C19) - 9000000000</f>
        <v>595800000000</v>
      </c>
      <c r="J19" s="104">
        <v>15.35</v>
      </c>
      <c r="K19" s="263">
        <f>J19*H19</f>
        <v>3.4077000000000002</v>
      </c>
      <c r="L19" s="263">
        <f>K19/T19</f>
        <v>4.4772700729936519</v>
      </c>
      <c r="M19" s="84">
        <v>2.9627719999999997</v>
      </c>
      <c r="N19" s="84">
        <f>M19/T19</f>
        <v>3.8926931386869579</v>
      </c>
      <c r="O19" s="84">
        <f>M19/(H19)</f>
        <v>13.345819819819818</v>
      </c>
      <c r="P19" s="84">
        <f>((N19*($H19/$T19))/($I19*$G19))*(10^12)</f>
        <v>6.3523340521511029</v>
      </c>
      <c r="Q19" s="263">
        <f>((L19*($H19/$T19))/($I19*$G19))*(10^12)</f>
        <v>7.3062823428584176</v>
      </c>
      <c r="R19" s="289">
        <f>AVERAGE(P19:Q19)</f>
        <v>6.8293081975047603</v>
      </c>
      <c r="S19" s="7">
        <f t="shared" si="11"/>
        <v>22.033333333332848</v>
      </c>
      <c r="T19" s="85">
        <f t="shared" si="12"/>
        <v>0.76111111111094942</v>
      </c>
      <c r="U19" s="8">
        <f t="shared" si="13"/>
        <v>5.3960109289617488</v>
      </c>
      <c r="V19" s="86">
        <f t="shared" si="14"/>
        <v>1.2153284671535428E-2</v>
      </c>
      <c r="W19" s="86">
        <f t="shared" si="15"/>
        <v>4.0510948905118097E-2</v>
      </c>
      <c r="X19" s="86">
        <f t="shared" si="16"/>
        <v>1.2591240875915095E-3</v>
      </c>
      <c r="Y19" s="86">
        <f t="shared" si="17"/>
        <v>2.8482481751830876E-2</v>
      </c>
      <c r="Z19" s="86">
        <f t="shared" si="18"/>
        <v>4.2384645464034039E-2</v>
      </c>
      <c r="AA19" s="87">
        <f t="shared" si="19"/>
        <v>0.98306040337233391</v>
      </c>
      <c r="AB19" s="86">
        <f t="shared" si="20"/>
        <v>1.8736965589159424E-3</v>
      </c>
      <c r="AC19" s="88">
        <f t="shared" si="21"/>
        <v>4.6251608751608927E-2</v>
      </c>
      <c r="AD19" s="89" t="s">
        <v>24</v>
      </c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6">
      <c r="A20" s="79" t="s">
        <v>19</v>
      </c>
      <c r="B20" s="80">
        <v>42467.728472222225</v>
      </c>
      <c r="C20" s="15">
        <v>0.69299999999999995</v>
      </c>
      <c r="D20" s="81">
        <v>7.21</v>
      </c>
      <c r="E20" s="81">
        <v>30.6</v>
      </c>
      <c r="F20" s="81">
        <v>2.1</v>
      </c>
      <c r="G20" s="81">
        <v>0.3</v>
      </c>
      <c r="H20" s="82">
        <v>0.32200000000000001</v>
      </c>
      <c r="I20" s="83">
        <f xml:space="preserve"> 900000000000*(C20) - 9000000000</f>
        <v>614700000000</v>
      </c>
      <c r="J20" s="263">
        <v>15.45</v>
      </c>
      <c r="K20" s="263">
        <f>J20*H20</f>
        <v>4.9748999999999999</v>
      </c>
      <c r="L20" s="263">
        <f>K20/T20</f>
        <v>4.2465062240441185</v>
      </c>
      <c r="M20" s="84">
        <v>3.6523980000000003</v>
      </c>
      <c r="N20" s="84">
        <f>M20/T20</f>
        <v>3.1176367041923041</v>
      </c>
      <c r="O20" s="84">
        <f>M20/(H20)</f>
        <v>11.342850931677019</v>
      </c>
      <c r="P20" s="84">
        <f>((N20*($H20/$T20))/($I20*$G20))*(10^12)</f>
        <v>4.6466966261722682</v>
      </c>
      <c r="Q20" s="263">
        <f>((L20*($H20/$T20))/($I20*$G20))*(10^12)</f>
        <v>6.3292256335548354</v>
      </c>
      <c r="R20" s="289">
        <f>AVERAGE(P20:Q20)</f>
        <v>5.4879611298635513</v>
      </c>
      <c r="S20" s="7">
        <f t="shared" si="11"/>
        <v>23.20486111111677</v>
      </c>
      <c r="T20" s="85">
        <f t="shared" si="12"/>
        <v>1.1715277777839219</v>
      </c>
      <c r="U20" s="8">
        <f t="shared" si="13"/>
        <v>6.4693442622950821</v>
      </c>
      <c r="V20" s="86">
        <f t="shared" si="14"/>
        <v>1.1452282157616287E-2</v>
      </c>
      <c r="W20" s="86">
        <f t="shared" si="15"/>
        <v>3.8174273858720957E-2</v>
      </c>
      <c r="X20" s="86">
        <f t="shared" si="16"/>
        <v>7.4688796680105892E-4</v>
      </c>
      <c r="Y20" s="86">
        <f t="shared" si="17"/>
        <v>2.7201659750894683E-2</v>
      </c>
      <c r="Z20" s="86">
        <f t="shared" si="18"/>
        <v>3.9252034272575301E-2</v>
      </c>
      <c r="AA20" s="87">
        <f t="shared" si="19"/>
        <v>1.0615161083709344</v>
      </c>
      <c r="AB20" s="86">
        <f t="shared" si="20"/>
        <v>1.0777604138543437E-3</v>
      </c>
      <c r="AC20" s="88">
        <f t="shared" si="21"/>
        <v>2.8232636928289024E-2</v>
      </c>
      <c r="AD20" s="89" t="s">
        <v>25</v>
      </c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6">
      <c r="A21" s="77" t="s">
        <v>19</v>
      </c>
      <c r="B21" s="78">
        <v>42470.405555555553</v>
      </c>
      <c r="C21" s="14">
        <v>0.74199999999999999</v>
      </c>
      <c r="D21" s="74">
        <v>7.08</v>
      </c>
      <c r="E21" s="74">
        <v>30.5</v>
      </c>
      <c r="F21" s="74">
        <v>2</v>
      </c>
      <c r="G21" s="74">
        <v>0.28999999999999998</v>
      </c>
      <c r="H21" s="95">
        <v>0.61</v>
      </c>
      <c r="I21" s="95"/>
      <c r="J21" s="95"/>
      <c r="K21" s="95"/>
      <c r="L21" s="95"/>
      <c r="M21" s="96"/>
      <c r="N21" s="96"/>
      <c r="O21" s="95"/>
      <c r="P21" s="95"/>
      <c r="Q21" s="95"/>
      <c r="R21" s="290"/>
      <c r="S21" s="4">
        <f t="shared" si="11"/>
        <v>25.881944444445253</v>
      </c>
      <c r="T21" s="67">
        <f t="shared" si="12"/>
        <v>2.6770833333284827</v>
      </c>
      <c r="U21" s="5">
        <f t="shared" si="13"/>
        <v>8.5727925381571506</v>
      </c>
      <c r="V21" s="68">
        <f t="shared" si="14"/>
        <v>9.4941634241417164E-3</v>
      </c>
      <c r="W21" s="68">
        <f t="shared" si="15"/>
        <v>3.2738494566005923E-2</v>
      </c>
      <c r="X21" s="68">
        <f t="shared" si="16"/>
        <v>7.6264591439826972E-4</v>
      </c>
      <c r="Y21" s="68">
        <f t="shared" si="17"/>
        <v>2.5054608882374662E-2</v>
      </c>
      <c r="Z21" s="68">
        <f t="shared" si="18"/>
        <v>3.3766319248483369E-2</v>
      </c>
      <c r="AA21" s="69">
        <f t="shared" si="19"/>
        <v>1.2339712350654903</v>
      </c>
      <c r="AB21" s="68">
        <f t="shared" si="20"/>
        <v>1.0278246824774462E-3</v>
      </c>
      <c r="AC21" s="70">
        <f t="shared" si="21"/>
        <v>3.1394989174141498E-2</v>
      </c>
      <c r="AD21" s="71" t="s">
        <v>20</v>
      </c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6">
      <c r="A22" s="77" t="s">
        <v>19</v>
      </c>
      <c r="B22" s="78">
        <v>42472.572916666664</v>
      </c>
      <c r="C22" s="14">
        <v>0.65800000000000003</v>
      </c>
      <c r="D22" s="74">
        <v>7.16</v>
      </c>
      <c r="E22" s="74">
        <v>30.5</v>
      </c>
      <c r="F22" s="74">
        <v>2</v>
      </c>
      <c r="G22" s="74">
        <v>0.31</v>
      </c>
      <c r="H22" s="95">
        <v>0.316</v>
      </c>
      <c r="I22" s="95"/>
      <c r="J22" s="95"/>
      <c r="K22" s="95"/>
      <c r="L22" s="95"/>
      <c r="M22" s="3"/>
      <c r="N22" s="3"/>
      <c r="O22" s="95"/>
      <c r="P22" s="95"/>
      <c r="Q22" s="95"/>
      <c r="R22" s="290"/>
      <c r="S22" s="4">
        <f t="shared" si="11"/>
        <v>28.049305555556202</v>
      </c>
      <c r="T22" s="67">
        <f t="shared" si="12"/>
        <v>2.1673611111109494</v>
      </c>
      <c r="U22" s="5">
        <f t="shared" si="13"/>
        <v>9.5921473768668282</v>
      </c>
      <c r="V22" s="68">
        <f t="shared" si="14"/>
        <v>6.0749759692410813E-3</v>
      </c>
      <c r="W22" s="68">
        <f t="shared" si="15"/>
        <v>1.9596696674971228E-2</v>
      </c>
      <c r="X22" s="68">
        <f t="shared" si="16"/>
        <v>-1.6148670297982614E-3</v>
      </c>
      <c r="Y22" s="68">
        <f t="shared" si="17"/>
        <v>1.1279759382332808E-2</v>
      </c>
      <c r="Z22" s="68">
        <f t="shared" si="18"/>
        <v>1.7142491462511865E-2</v>
      </c>
      <c r="AA22" s="69">
        <f t="shared" si="19"/>
        <v>2.430607403701242</v>
      </c>
      <c r="AB22" s="68">
        <f t="shared" si="20"/>
        <v>-2.4542052124593636E-3</v>
      </c>
      <c r="AC22" s="70">
        <f t="shared" si="21"/>
        <v>-0.12523565849717203</v>
      </c>
      <c r="AD22" s="71" t="s">
        <v>20</v>
      </c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6">
      <c r="A23" s="97" t="s">
        <v>19</v>
      </c>
      <c r="B23" s="17">
        <v>42473.459027777775</v>
      </c>
      <c r="C23" s="16">
        <v>0.63600000000000001</v>
      </c>
      <c r="D23" s="18">
        <v>7.05</v>
      </c>
      <c r="E23" s="18">
        <v>30.6</v>
      </c>
      <c r="F23" s="18">
        <v>2</v>
      </c>
      <c r="G23" s="18">
        <v>0.3</v>
      </c>
      <c r="H23" s="19">
        <v>0.25700000000000001</v>
      </c>
      <c r="I23" s="19"/>
      <c r="J23" s="19"/>
      <c r="K23" s="19"/>
      <c r="L23" s="19"/>
      <c r="M23" s="48"/>
      <c r="N23" s="48"/>
      <c r="O23" s="19"/>
      <c r="P23" s="19"/>
      <c r="Q23" s="19"/>
      <c r="R23" s="291"/>
      <c r="S23" s="20">
        <f t="shared" si="11"/>
        <v>28.935416666667152</v>
      </c>
      <c r="T23" s="21">
        <f t="shared" si="12"/>
        <v>0.88611111111094942</v>
      </c>
      <c r="U23" s="22">
        <f t="shared" si="13"/>
        <v>10.448814043533496</v>
      </c>
      <c r="V23" s="23">
        <f t="shared" si="14"/>
        <v>1.2084639498434807E-2</v>
      </c>
      <c r="W23" s="23">
        <f t="shared" si="15"/>
        <v>4.0282131661449359E-2</v>
      </c>
      <c r="X23" s="23">
        <f t="shared" si="16"/>
        <v>-1.0344827586208794E-3</v>
      </c>
      <c r="Y23" s="23">
        <f t="shared" si="17"/>
        <v>2.4584952978060914E-2</v>
      </c>
      <c r="Z23" s="23">
        <f t="shared" si="18"/>
        <v>3.8655586443491999E-2</v>
      </c>
      <c r="AA23" s="24">
        <f t="shared" si="19"/>
        <v>1.0778950858131815</v>
      </c>
      <c r="AB23" s="23">
        <f t="shared" si="20"/>
        <v>-1.6265452179573606E-3</v>
      </c>
      <c r="AC23" s="43">
        <f t="shared" si="21"/>
        <v>-4.0378826811541112E-2</v>
      </c>
      <c r="AD23" s="98" t="s">
        <v>20</v>
      </c>
      <c r="AH23" s="3"/>
      <c r="AI23" s="3"/>
      <c r="AJ23" s="3"/>
      <c r="AK23" s="3"/>
      <c r="AL23" s="3"/>
      <c r="AM23" s="3"/>
      <c r="AN23" s="3"/>
      <c r="AO23" s="3"/>
    </row>
    <row r="24" spans="1:41" s="26" customFormat="1">
      <c r="A24" s="218"/>
      <c r="B24" s="219"/>
      <c r="C24" s="209"/>
      <c r="D24" s="209"/>
      <c r="E24" s="220"/>
      <c r="F24" s="220"/>
      <c r="G24" s="220"/>
      <c r="H24" s="220"/>
      <c r="I24" s="220"/>
      <c r="J24" s="220"/>
      <c r="K24" s="220"/>
      <c r="L24" s="274"/>
      <c r="M24" s="221"/>
      <c r="N24" s="221"/>
      <c r="O24" s="220"/>
      <c r="P24" s="222"/>
      <c r="Q24" s="300"/>
      <c r="R24" s="292"/>
      <c r="S24" s="216"/>
      <c r="T24" s="223"/>
      <c r="U24" s="224"/>
      <c r="V24" s="225"/>
      <c r="W24" s="226"/>
      <c r="X24" s="216"/>
      <c r="Y24" s="216"/>
      <c r="Z24" s="216"/>
      <c r="AA24" s="227"/>
      <c r="AB24" s="216"/>
      <c r="AC24" s="228"/>
      <c r="AD24" s="229"/>
      <c r="AE24" s="214"/>
      <c r="AF24" s="25"/>
      <c r="AH24" s="25"/>
      <c r="AI24" s="25"/>
      <c r="AJ24" s="25"/>
      <c r="AK24" s="25"/>
      <c r="AL24" s="25"/>
      <c r="AM24" s="25"/>
      <c r="AN24" s="25"/>
      <c r="AO24" s="25"/>
    </row>
    <row r="25" spans="1:41" ht="16">
      <c r="A25" s="99" t="s">
        <v>28</v>
      </c>
      <c r="B25" s="100">
        <v>42444.523611111108</v>
      </c>
      <c r="C25" s="31">
        <v>0.52900000000000003</v>
      </c>
      <c r="D25" s="31">
        <v>7.36</v>
      </c>
      <c r="E25" s="31">
        <v>30.5</v>
      </c>
      <c r="F25" s="32">
        <v>2.5</v>
      </c>
      <c r="G25" s="32">
        <f>0.3</f>
        <v>0.3</v>
      </c>
      <c r="H25" s="32" t="s">
        <v>20</v>
      </c>
      <c r="I25" s="32"/>
      <c r="J25" s="32"/>
      <c r="K25" s="32"/>
      <c r="L25" s="32"/>
      <c r="M25" s="45"/>
      <c r="N25" s="45"/>
      <c r="O25" s="32"/>
      <c r="P25" s="32"/>
      <c r="Q25" s="32"/>
      <c r="R25" s="293"/>
      <c r="S25" s="1">
        <v>0</v>
      </c>
      <c r="T25" s="67">
        <v>0</v>
      </c>
      <c r="U25" s="2">
        <v>0</v>
      </c>
      <c r="V25" s="68" t="s">
        <v>20</v>
      </c>
      <c r="W25" s="68" t="s">
        <v>20</v>
      </c>
      <c r="X25" s="68" t="s">
        <v>20</v>
      </c>
      <c r="Y25" s="68" t="s">
        <v>20</v>
      </c>
      <c r="Z25" s="68" t="s">
        <v>20</v>
      </c>
      <c r="AA25" s="69" t="s">
        <v>20</v>
      </c>
      <c r="AB25" s="68" t="s">
        <v>20</v>
      </c>
      <c r="AC25" s="101" t="s">
        <v>20</v>
      </c>
      <c r="AD25" s="71" t="s">
        <v>20</v>
      </c>
      <c r="AH25" s="3"/>
      <c r="AI25" s="3"/>
      <c r="AJ25" s="3"/>
      <c r="AK25" s="3"/>
      <c r="AL25" s="3"/>
      <c r="AM25" s="3"/>
      <c r="AN25" s="3"/>
      <c r="AO25" s="3"/>
    </row>
    <row r="26" spans="1:41" ht="16">
      <c r="A26" s="99" t="s">
        <v>28</v>
      </c>
      <c r="B26" s="100">
        <v>42445.430555555555</v>
      </c>
      <c r="C26" s="31">
        <v>0.32500000000000001</v>
      </c>
      <c r="D26" s="31">
        <v>7.13</v>
      </c>
      <c r="E26" s="31">
        <v>30.6</v>
      </c>
      <c r="F26" s="32">
        <v>2</v>
      </c>
      <c r="G26" s="32">
        <f>0.3</f>
        <v>0.3</v>
      </c>
      <c r="H26" s="32">
        <v>0.22</v>
      </c>
      <c r="I26" s="32"/>
      <c r="J26" s="32"/>
      <c r="K26" s="32"/>
      <c r="L26" s="32"/>
      <c r="M26" s="45"/>
      <c r="N26" s="45"/>
      <c r="O26" s="32"/>
      <c r="P26" s="32"/>
      <c r="Q26" s="32"/>
      <c r="R26" s="293"/>
      <c r="S26" s="4">
        <f t="shared" ref="S26:S41" si="22">B26-$B$2</f>
        <v>0.90694444444670808</v>
      </c>
      <c r="T26" s="67">
        <f t="shared" ref="T26:T41" si="23">B26-B25</f>
        <v>0.90694444444670808</v>
      </c>
      <c r="U26" s="5">
        <f t="shared" ref="U26:U41" si="24">(H26/G26)+U25</f>
        <v>0.73333333333333339</v>
      </c>
      <c r="V26" s="68">
        <f t="shared" ref="V26:V41" si="25">H26/(24*T26)</f>
        <v>1.0107197549745064E-2</v>
      </c>
      <c r="W26" s="68">
        <f t="shared" ref="W26:W41" si="26">V26/G26</f>
        <v>3.3690658499150213E-2</v>
      </c>
      <c r="X26" s="68">
        <f t="shared" ref="X26:X41" si="27">(C26-C25)/(24*(S26-S25))</f>
        <v>-9.3721286370363338E-3</v>
      </c>
      <c r="Y26" s="68">
        <f t="shared" ref="Y26:Y41" si="28">(X26*G26+V26*C26)/G26</f>
        <v>1.5773353751874859E-3</v>
      </c>
      <c r="Z26" s="68">
        <f t="shared" ref="Z26:Z41" si="29">Y26/C26</f>
        <v>4.8533396159614953E-3</v>
      </c>
      <c r="AA26" s="69">
        <f>(1/Z26)/24</f>
        <v>8.5851537217042821</v>
      </c>
      <c r="AB26" s="68">
        <f t="shared" ref="AB26:AB41" si="30">Z26-W26</f>
        <v>-2.8837318883188717E-2</v>
      </c>
      <c r="AC26" s="101">
        <f t="shared" ref="AC26:AC41" si="31">(AB26/W26)</f>
        <v>-0.85594405594405609</v>
      </c>
      <c r="AD26" s="71" t="s">
        <v>20</v>
      </c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6">
      <c r="A27" s="99" t="s">
        <v>28</v>
      </c>
      <c r="B27" s="100">
        <v>42445.770138888889</v>
      </c>
      <c r="C27" s="31">
        <v>0.30599999999999999</v>
      </c>
      <c r="D27" s="33">
        <v>7.27</v>
      </c>
      <c r="E27" s="32">
        <v>30.4</v>
      </c>
      <c r="F27" s="32">
        <v>2</v>
      </c>
      <c r="G27" s="32">
        <f>0.3</f>
        <v>0.3</v>
      </c>
      <c r="H27" s="32">
        <v>8.3000000000000004E-2</v>
      </c>
      <c r="I27" s="32"/>
      <c r="J27" s="32"/>
      <c r="K27" s="32"/>
      <c r="L27" s="32"/>
      <c r="M27" s="45"/>
      <c r="N27" s="45"/>
      <c r="O27" s="32"/>
      <c r="P27" s="32"/>
      <c r="Q27" s="32"/>
      <c r="R27" s="293"/>
      <c r="S27" s="4">
        <f t="shared" si="22"/>
        <v>1.2465277777810115</v>
      </c>
      <c r="T27" s="67">
        <f t="shared" si="23"/>
        <v>0.33958333333430346</v>
      </c>
      <c r="U27" s="5">
        <f t="shared" si="24"/>
        <v>1.01</v>
      </c>
      <c r="V27" s="68">
        <f t="shared" si="25"/>
        <v>1.0184049079725508E-2</v>
      </c>
      <c r="W27" s="68">
        <f t="shared" si="26"/>
        <v>3.3946830265751696E-2</v>
      </c>
      <c r="X27" s="68">
        <f t="shared" si="27"/>
        <v>-2.3312883435516242E-3</v>
      </c>
      <c r="Y27" s="68">
        <f t="shared" si="28"/>
        <v>8.0564417177683943E-3</v>
      </c>
      <c r="Z27" s="68">
        <f t="shared" si="29"/>
        <v>2.6328240907739851E-2</v>
      </c>
      <c r="AA27" s="69">
        <f t="shared" ref="AA27:AA41" si="32">(1/Z27)/24</f>
        <v>1.5825845263523739</v>
      </c>
      <c r="AB27" s="68">
        <f t="shared" si="30"/>
        <v>-7.6185893580118444E-3</v>
      </c>
      <c r="AC27" s="101">
        <f t="shared" si="31"/>
        <v>-0.22442712024568881</v>
      </c>
      <c r="AD27" s="71" t="s">
        <v>20</v>
      </c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6">
      <c r="A28" s="99" t="s">
        <v>28</v>
      </c>
      <c r="B28" s="100">
        <v>42446.343055555553</v>
      </c>
      <c r="C28" s="102">
        <v>0.36</v>
      </c>
      <c r="D28" s="33">
        <v>7.3</v>
      </c>
      <c r="E28" s="32">
        <v>30.4</v>
      </c>
      <c r="F28" s="32">
        <v>2</v>
      </c>
      <c r="G28" s="32">
        <v>0.30499999999999999</v>
      </c>
      <c r="H28" s="32">
        <v>0.16200000000000001</v>
      </c>
      <c r="I28" s="32"/>
      <c r="J28" s="3"/>
      <c r="K28" s="32"/>
      <c r="L28" s="32"/>
      <c r="M28" s="45"/>
      <c r="N28" s="45"/>
      <c r="O28" s="32"/>
      <c r="P28" s="32"/>
      <c r="Q28" s="32"/>
      <c r="R28" s="293"/>
      <c r="S28" s="4">
        <f t="shared" si="22"/>
        <v>1.8194444444452529</v>
      </c>
      <c r="T28" s="67">
        <f t="shared" si="23"/>
        <v>0.57291666666424135</v>
      </c>
      <c r="U28" s="5">
        <f t="shared" si="24"/>
        <v>1.5411475409836066</v>
      </c>
      <c r="V28" s="68">
        <f t="shared" si="25"/>
        <v>1.1781818181868058E-2</v>
      </c>
      <c r="W28" s="68">
        <f t="shared" si="26"/>
        <v>3.8628912071698551E-2</v>
      </c>
      <c r="X28" s="68">
        <f t="shared" si="27"/>
        <v>3.9272727272893519E-3</v>
      </c>
      <c r="Y28" s="68">
        <f t="shared" si="28"/>
        <v>1.7833681073100831E-2</v>
      </c>
      <c r="Z28" s="68">
        <f t="shared" si="29"/>
        <v>4.9538002980835646E-2</v>
      </c>
      <c r="AA28" s="69">
        <f t="shared" si="32"/>
        <v>0.84110509426037827</v>
      </c>
      <c r="AB28" s="68">
        <f t="shared" si="30"/>
        <v>1.0909090909137095E-2</v>
      </c>
      <c r="AC28" s="101">
        <f t="shared" si="31"/>
        <v>0.2824074074074075</v>
      </c>
      <c r="AD28" s="71" t="s">
        <v>20</v>
      </c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6">
      <c r="A29" s="99" t="s">
        <v>28</v>
      </c>
      <c r="B29" s="100">
        <v>42446.902083333334</v>
      </c>
      <c r="C29" s="102">
        <v>0.46500000000000002</v>
      </c>
      <c r="D29" s="33">
        <v>7.18</v>
      </c>
      <c r="E29" s="31">
        <v>30.4</v>
      </c>
      <c r="F29" s="32">
        <v>2</v>
      </c>
      <c r="G29" s="32">
        <v>0.31</v>
      </c>
      <c r="H29" s="31">
        <v>0.16</v>
      </c>
      <c r="I29" s="31"/>
      <c r="J29" s="3"/>
      <c r="K29" s="31"/>
      <c r="L29" s="31"/>
      <c r="M29" s="103"/>
      <c r="N29" s="103"/>
      <c r="O29" s="31"/>
      <c r="P29" s="31"/>
      <c r="Q29" s="31"/>
      <c r="R29" s="294"/>
      <c r="S29" s="4">
        <f t="shared" si="22"/>
        <v>2.3784722222262644</v>
      </c>
      <c r="T29" s="67">
        <f t="shared" si="23"/>
        <v>0.55902777778101154</v>
      </c>
      <c r="U29" s="5">
        <f t="shared" si="24"/>
        <v>2.0572765732416709</v>
      </c>
      <c r="V29" s="68">
        <f t="shared" si="25"/>
        <v>1.1925465838440332E-2</v>
      </c>
      <c r="W29" s="68">
        <f t="shared" si="26"/>
        <v>3.8469244640130108E-2</v>
      </c>
      <c r="X29" s="68">
        <f t="shared" si="27"/>
        <v>7.8260869564764704E-3</v>
      </c>
      <c r="Y29" s="68">
        <f t="shared" si="28"/>
        <v>2.5714285714136972E-2</v>
      </c>
      <c r="Z29" s="68">
        <f t="shared" si="29"/>
        <v>5.5299539170187033E-2</v>
      </c>
      <c r="AA29" s="69">
        <f t="shared" si="32"/>
        <v>0.75347222222658061</v>
      </c>
      <c r="AB29" s="68">
        <f t="shared" si="30"/>
        <v>1.6830294530056925E-2</v>
      </c>
      <c r="AC29" s="101">
        <f t="shared" si="31"/>
        <v>0.43750000000000006</v>
      </c>
      <c r="AD29" s="71" t="s">
        <v>20</v>
      </c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6">
      <c r="A30" s="99" t="s">
        <v>28</v>
      </c>
      <c r="B30" s="100">
        <v>42447.479166666664</v>
      </c>
      <c r="C30" s="31">
        <v>0.625</v>
      </c>
      <c r="D30" s="31">
        <v>7.24</v>
      </c>
      <c r="E30" s="32">
        <v>30.5</v>
      </c>
      <c r="F30" s="32">
        <v>2</v>
      </c>
      <c r="G30" s="32">
        <v>0.31</v>
      </c>
      <c r="H30" s="31">
        <v>0.17</v>
      </c>
      <c r="I30" s="31"/>
      <c r="J30" s="3"/>
      <c r="K30" s="31"/>
      <c r="L30" s="31"/>
      <c r="M30" s="103"/>
      <c r="N30" s="103"/>
      <c r="O30" s="31"/>
      <c r="P30" s="31"/>
      <c r="Q30" s="31"/>
      <c r="R30" s="294"/>
      <c r="S30" s="4">
        <f t="shared" si="22"/>
        <v>2.9555555555562023</v>
      </c>
      <c r="T30" s="67">
        <f t="shared" si="23"/>
        <v>0.57708333332993789</v>
      </c>
      <c r="U30" s="5">
        <f t="shared" si="24"/>
        <v>2.6056636700158644</v>
      </c>
      <c r="V30" s="68">
        <f t="shared" si="25"/>
        <v>1.2274368231119152E-2</v>
      </c>
      <c r="W30" s="68">
        <f t="shared" si="26"/>
        <v>3.9594736229416623E-2</v>
      </c>
      <c r="X30" s="68">
        <f t="shared" si="27"/>
        <v>1.1552346570465081E-2</v>
      </c>
      <c r="Y30" s="68">
        <f t="shared" si="28"/>
        <v>3.6299056713850468E-2</v>
      </c>
      <c r="Z30" s="68">
        <f t="shared" si="29"/>
        <v>5.8078490742160746E-2</v>
      </c>
      <c r="AA30" s="69">
        <f t="shared" si="32"/>
        <v>0.71741992834568802</v>
      </c>
      <c r="AB30" s="68">
        <f t="shared" si="30"/>
        <v>1.8483754512744123E-2</v>
      </c>
      <c r="AC30" s="101">
        <f t="shared" si="31"/>
        <v>0.46682352941176436</v>
      </c>
      <c r="AD30" s="71" t="s">
        <v>20</v>
      </c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6">
      <c r="A31" s="99" t="s">
        <v>28</v>
      </c>
      <c r="B31" s="100">
        <v>42447.752083333333</v>
      </c>
      <c r="C31" s="31">
        <v>0.622</v>
      </c>
      <c r="D31" s="32">
        <v>7.24</v>
      </c>
      <c r="E31" s="31">
        <v>30.4</v>
      </c>
      <c r="F31" s="32">
        <v>2</v>
      </c>
      <c r="G31" s="32">
        <v>0.3</v>
      </c>
      <c r="H31" s="31">
        <v>8.5999999999999993E-2</v>
      </c>
      <c r="I31" s="31"/>
      <c r="J31" s="3"/>
      <c r="K31" s="31"/>
      <c r="L31" s="31"/>
      <c r="M31" s="103"/>
      <c r="N31" s="103"/>
      <c r="O31" s="31"/>
      <c r="P31" s="31"/>
      <c r="Q31" s="31"/>
      <c r="R31" s="294"/>
      <c r="S31" s="4">
        <f t="shared" si="22"/>
        <v>3.2284722222248092</v>
      </c>
      <c r="T31" s="67">
        <f t="shared" si="23"/>
        <v>0.27291666666860692</v>
      </c>
      <c r="U31" s="5">
        <f t="shared" si="24"/>
        <v>2.892330336682531</v>
      </c>
      <c r="V31" s="68">
        <f t="shared" si="25"/>
        <v>1.3129770992273066E-2</v>
      </c>
      <c r="W31" s="68">
        <f t="shared" si="26"/>
        <v>4.3765903307576889E-2</v>
      </c>
      <c r="X31" s="68">
        <f t="shared" si="27"/>
        <v>-4.5801526717231675E-4</v>
      </c>
      <c r="Y31" s="68">
        <f t="shared" si="28"/>
        <v>2.6764376590140509E-2</v>
      </c>
      <c r="Z31" s="68">
        <f t="shared" si="29"/>
        <v>4.3029544357139085E-2</v>
      </c>
      <c r="AA31" s="69">
        <f t="shared" si="32"/>
        <v>0.96832693185963736</v>
      </c>
      <c r="AB31" s="68">
        <f t="shared" si="30"/>
        <v>-7.363589504378043E-4</v>
      </c>
      <c r="AC31" s="101">
        <f t="shared" si="31"/>
        <v>-1.6824945786285725E-2</v>
      </c>
      <c r="AD31" s="71" t="s">
        <v>20</v>
      </c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6">
      <c r="A32" s="99" t="s">
        <v>28</v>
      </c>
      <c r="B32" s="100">
        <v>42448.353472222225</v>
      </c>
      <c r="C32" s="31">
        <v>0.59299999999999997</v>
      </c>
      <c r="D32" s="31">
        <v>7.13</v>
      </c>
      <c r="E32" s="32">
        <v>30.6</v>
      </c>
      <c r="F32" s="32">
        <v>2</v>
      </c>
      <c r="G32" s="32">
        <v>0.31</v>
      </c>
      <c r="H32" s="31">
        <v>0.188</v>
      </c>
      <c r="I32" s="31"/>
      <c r="J32" s="3"/>
      <c r="K32" s="31"/>
      <c r="L32" s="31"/>
      <c r="M32" s="103"/>
      <c r="N32" s="103"/>
      <c r="O32" s="31"/>
      <c r="P32" s="31"/>
      <c r="Q32" s="31"/>
      <c r="R32" s="294"/>
      <c r="S32" s="4">
        <f t="shared" si="22"/>
        <v>3.8298611111167702</v>
      </c>
      <c r="T32" s="67">
        <f t="shared" si="23"/>
        <v>0.60138888889196096</v>
      </c>
      <c r="U32" s="5">
        <f t="shared" si="24"/>
        <v>3.4987819495857568</v>
      </c>
      <c r="V32" s="68">
        <f t="shared" si="25"/>
        <v>1.3025404156977342E-2</v>
      </c>
      <c r="W32" s="68">
        <f t="shared" si="26"/>
        <v>4.2017432764443037E-2</v>
      </c>
      <c r="X32" s="68">
        <f t="shared" si="27"/>
        <v>-2.0092378752784214E-3</v>
      </c>
      <c r="Y32" s="68">
        <f t="shared" si="28"/>
        <v>2.2907099754036299E-2</v>
      </c>
      <c r="Z32" s="68">
        <f t="shared" si="29"/>
        <v>3.8629173278307422E-2</v>
      </c>
      <c r="AA32" s="69">
        <f t="shared" si="32"/>
        <v>1.0786321096357756</v>
      </c>
      <c r="AB32" s="68">
        <f t="shared" si="30"/>
        <v>-3.3882594861356155E-3</v>
      </c>
      <c r="AC32" s="101">
        <f t="shared" si="31"/>
        <v>-8.0639374259983507E-2</v>
      </c>
      <c r="AD32" s="71" t="s">
        <v>20</v>
      </c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6">
      <c r="A33" s="99" t="s">
        <v>28</v>
      </c>
      <c r="B33" s="100">
        <v>42448.771527777775</v>
      </c>
      <c r="C33" s="31">
        <v>0.59099999999999997</v>
      </c>
      <c r="D33" s="31">
        <v>7.24</v>
      </c>
      <c r="E33" s="32">
        <v>30.6</v>
      </c>
      <c r="F33" s="32">
        <v>2</v>
      </c>
      <c r="G33" s="32">
        <v>0.31</v>
      </c>
      <c r="H33" s="31">
        <v>0.11600000000000001</v>
      </c>
      <c r="I33" s="31"/>
      <c r="J33" s="31"/>
      <c r="K33" s="31"/>
      <c r="L33" s="31"/>
      <c r="M33" s="103"/>
      <c r="N33" s="103"/>
      <c r="O33" s="31"/>
      <c r="P33" s="31"/>
      <c r="Q33" s="31"/>
      <c r="R33" s="294"/>
      <c r="S33" s="4">
        <f t="shared" si="22"/>
        <v>4.2479166666671517</v>
      </c>
      <c r="T33" s="67">
        <f t="shared" si="23"/>
        <v>0.41805555555038154</v>
      </c>
      <c r="U33" s="5">
        <f t="shared" si="24"/>
        <v>3.8729754979728535</v>
      </c>
      <c r="V33" s="68">
        <f t="shared" si="25"/>
        <v>1.1561461794163024E-2</v>
      </c>
      <c r="W33" s="68">
        <f t="shared" si="26"/>
        <v>3.7295038045687172E-2</v>
      </c>
      <c r="X33" s="68">
        <f t="shared" si="27"/>
        <v>-1.993355481752247E-4</v>
      </c>
      <c r="Y33" s="68">
        <f t="shared" si="28"/>
        <v>2.1842031936825896E-2</v>
      </c>
      <c r="Z33" s="68">
        <f t="shared" si="29"/>
        <v>3.6957752854189334E-2</v>
      </c>
      <c r="AA33" s="69">
        <f t="shared" si="32"/>
        <v>1.1274134234041655</v>
      </c>
      <c r="AB33" s="68">
        <f t="shared" si="30"/>
        <v>-3.3728519149783809E-4</v>
      </c>
      <c r="AC33" s="101">
        <f t="shared" si="31"/>
        <v>-9.0437014995039533E-3</v>
      </c>
      <c r="AD33" s="71" t="s">
        <v>20</v>
      </c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6">
      <c r="A34" s="79" t="s">
        <v>28</v>
      </c>
      <c r="B34" s="80">
        <v>42449.758333333331</v>
      </c>
      <c r="C34" s="15">
        <v>0.58199999999999996</v>
      </c>
      <c r="D34" s="15">
        <v>7.25</v>
      </c>
      <c r="E34" s="34">
        <v>30.6</v>
      </c>
      <c r="F34" s="34">
        <v>2</v>
      </c>
      <c r="G34" s="34">
        <v>0.3</v>
      </c>
      <c r="H34" s="34">
        <v>0.27500000000000002</v>
      </c>
      <c r="I34" s="83">
        <f xml:space="preserve"> 900000000000*(C34) - 9000000000</f>
        <v>514799999999.99994</v>
      </c>
      <c r="J34" s="272">
        <v>15.3</v>
      </c>
      <c r="K34" s="263">
        <f>J34*H34</f>
        <v>4.2075000000000005</v>
      </c>
      <c r="L34" s="263">
        <f>K34/T34</f>
        <v>4.2637579169570934</v>
      </c>
      <c r="M34" s="104">
        <v>2.9779870000000002</v>
      </c>
      <c r="N34" s="84">
        <f>M34/T34</f>
        <v>3.017805263896685</v>
      </c>
      <c r="O34" s="84">
        <f>M34/(H34)</f>
        <v>10.829043636363636</v>
      </c>
      <c r="P34" s="84">
        <f>((N34*($H34/$T34))/($I34*$G34))*(10^12)</f>
        <v>5.4454343526492863</v>
      </c>
      <c r="Q34" s="263">
        <f>((L34*($H34/$T34))/($I34*$G34))*(10^12)</f>
        <v>7.6936753044159945</v>
      </c>
      <c r="R34" s="289">
        <f t="shared" ref="R34:R36" si="33">AVERAGE(P34:Q34)</f>
        <v>6.5695548285326399</v>
      </c>
      <c r="S34" s="7">
        <f t="shared" si="22"/>
        <v>5.234722222223354</v>
      </c>
      <c r="T34" s="85">
        <f t="shared" si="23"/>
        <v>0.98680555555620231</v>
      </c>
      <c r="U34" s="8">
        <f t="shared" si="24"/>
        <v>4.7896421646395204</v>
      </c>
      <c r="V34" s="86">
        <f t="shared" si="25"/>
        <v>1.1611541168183805E-2</v>
      </c>
      <c r="W34" s="86">
        <f t="shared" si="26"/>
        <v>3.8705137227279349E-2</v>
      </c>
      <c r="X34" s="86">
        <f t="shared" si="27"/>
        <v>-3.8001407459510665E-4</v>
      </c>
      <c r="Y34" s="86">
        <f t="shared" si="28"/>
        <v>2.2146375791681473E-2</v>
      </c>
      <c r="Z34" s="86">
        <f t="shared" si="29"/>
        <v>3.8052192081926929E-2</v>
      </c>
      <c r="AA34" s="87">
        <f t="shared" si="32"/>
        <v>1.0949872894827641</v>
      </c>
      <c r="AB34" s="86">
        <f t="shared" si="30"/>
        <v>-6.529451453524196E-4</v>
      </c>
      <c r="AC34" s="105">
        <f t="shared" si="31"/>
        <v>-1.686972820993448E-2</v>
      </c>
      <c r="AD34" s="89" t="s">
        <v>21</v>
      </c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6">
      <c r="A35" s="79" t="s">
        <v>28</v>
      </c>
      <c r="B35" s="106">
        <v>42450.696527777778</v>
      </c>
      <c r="C35" s="34">
        <v>0.59799999999999998</v>
      </c>
      <c r="D35" s="15">
        <v>7.27</v>
      </c>
      <c r="E35" s="34">
        <v>30.6</v>
      </c>
      <c r="F35" s="34">
        <v>2</v>
      </c>
      <c r="G35" s="34">
        <v>0.3</v>
      </c>
      <c r="H35" s="34">
        <v>0.26800000000000002</v>
      </c>
      <c r="I35" s="83">
        <f xml:space="preserve"> 900000000000*(C35) - 9000000000</f>
        <v>529200000000</v>
      </c>
      <c r="J35" s="272">
        <v>14.95</v>
      </c>
      <c r="K35" s="263">
        <f>J35*H35</f>
        <v>4.0065999999999997</v>
      </c>
      <c r="L35" s="263">
        <f>K35/T35</f>
        <v>4.2705433012480229</v>
      </c>
      <c r="M35" s="104">
        <v>3.1898625000000003</v>
      </c>
      <c r="N35" s="84">
        <f>M35/T35</f>
        <v>3.4000014803766971</v>
      </c>
      <c r="O35" s="84">
        <f>M35/(H35)</f>
        <v>11.902472014925374</v>
      </c>
      <c r="P35" s="84">
        <f>((N35*($H35/$T35))/($I35*$G35))*(10^12)</f>
        <v>6.1175841645057174</v>
      </c>
      <c r="Q35" s="263">
        <f>((L35*($H35/$T35))/($I35*$G35))*(10^12)</f>
        <v>7.6839402054190744</v>
      </c>
      <c r="R35" s="289">
        <f t="shared" si="33"/>
        <v>6.9007621849623959</v>
      </c>
      <c r="S35" s="7">
        <f t="shared" si="22"/>
        <v>6.1729166666700621</v>
      </c>
      <c r="T35" s="85">
        <f t="shared" si="23"/>
        <v>0.93819444444670808</v>
      </c>
      <c r="U35" s="8">
        <f t="shared" si="24"/>
        <v>5.682975497972854</v>
      </c>
      <c r="V35" s="86">
        <f t="shared" si="25"/>
        <v>1.1902294596566398E-2</v>
      </c>
      <c r="W35" s="86">
        <f t="shared" si="26"/>
        <v>3.9674315321887997E-2</v>
      </c>
      <c r="X35" s="86">
        <f t="shared" si="27"/>
        <v>7.1058475203381543E-4</v>
      </c>
      <c r="Y35" s="86">
        <f t="shared" si="28"/>
        <v>2.4435825314522836E-2</v>
      </c>
      <c r="Z35" s="86">
        <f t="shared" si="29"/>
        <v>4.0862584137998058E-2</v>
      </c>
      <c r="AA35" s="87">
        <f t="shared" si="32"/>
        <v>1.0196777209672574</v>
      </c>
      <c r="AB35" s="86">
        <f t="shared" si="30"/>
        <v>1.1882688161100607E-3</v>
      </c>
      <c r="AC35" s="105">
        <f t="shared" si="31"/>
        <v>2.9950581540458304E-2</v>
      </c>
      <c r="AD35" s="89" t="s">
        <v>22</v>
      </c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6">
      <c r="A36" s="79" t="s">
        <v>28</v>
      </c>
      <c r="B36" s="80">
        <v>42451.759722222225</v>
      </c>
      <c r="C36" s="15">
        <v>0.61299999999999999</v>
      </c>
      <c r="D36" s="15">
        <v>7.3</v>
      </c>
      <c r="E36" s="34">
        <v>30.6</v>
      </c>
      <c r="F36" s="34">
        <v>2</v>
      </c>
      <c r="G36" s="15">
        <v>0.3</v>
      </c>
      <c r="H36" s="34">
        <v>0.30199999999999999</v>
      </c>
      <c r="I36" s="83">
        <f xml:space="preserve"> 900000000000*(C36) - 9000000000</f>
        <v>542700000000</v>
      </c>
      <c r="J36" s="272">
        <v>14.6</v>
      </c>
      <c r="K36" s="263">
        <f>J36*H36</f>
        <v>4.4091999999999993</v>
      </c>
      <c r="L36" s="263">
        <f>K36/T36</f>
        <v>4.1471247550532206</v>
      </c>
      <c r="M36" s="104">
        <v>3.4055605000000004</v>
      </c>
      <c r="N36" s="84">
        <f>M36/T36</f>
        <v>3.2031398562962505</v>
      </c>
      <c r="O36" s="84">
        <f>M36/(H36)</f>
        <v>11.276690397350995</v>
      </c>
      <c r="P36" s="84">
        <f>((N36*($H36/$T36))/($I36*$G36))*(10^12)</f>
        <v>5.5884204009311622</v>
      </c>
      <c r="Q36" s="263">
        <f>((L36*($H36/$T36))/($I36*$G36))*(10^12)</f>
        <v>7.2353620591340766</v>
      </c>
      <c r="R36" s="289">
        <f t="shared" si="33"/>
        <v>6.4118912300326194</v>
      </c>
      <c r="S36" s="7">
        <f t="shared" si="22"/>
        <v>7.2361111111167702</v>
      </c>
      <c r="T36" s="85">
        <f t="shared" si="23"/>
        <v>1.0631944444467081</v>
      </c>
      <c r="U36" s="8">
        <f t="shared" si="24"/>
        <v>6.6896421646395208</v>
      </c>
      <c r="V36" s="86">
        <f t="shared" si="25"/>
        <v>1.1835401698211248E-2</v>
      </c>
      <c r="W36" s="86">
        <f t="shared" si="26"/>
        <v>3.9451338994037494E-2</v>
      </c>
      <c r="X36" s="86">
        <f t="shared" si="27"/>
        <v>5.8785107772572475E-4</v>
      </c>
      <c r="Y36" s="86">
        <f t="shared" si="28"/>
        <v>2.4771521881070711E-2</v>
      </c>
      <c r="Z36" s="86">
        <f t="shared" si="29"/>
        <v>4.041031301969121E-2</v>
      </c>
      <c r="AA36" s="87">
        <f t="shared" si="32"/>
        <v>1.0310899261374999</v>
      </c>
      <c r="AB36" s="86">
        <f t="shared" si="30"/>
        <v>9.5897402565371659E-4</v>
      </c>
      <c r="AC36" s="105">
        <f t="shared" si="31"/>
        <v>2.4307768762896788E-2</v>
      </c>
      <c r="AD36" s="89" t="s">
        <v>23</v>
      </c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6">
      <c r="A37" s="77" t="s">
        <v>28</v>
      </c>
      <c r="B37" s="78">
        <v>42452.686111111114</v>
      </c>
      <c r="C37" s="14">
        <v>0.61599999999999999</v>
      </c>
      <c r="D37" s="35">
        <v>7.16</v>
      </c>
      <c r="E37" s="35">
        <v>30.6</v>
      </c>
      <c r="F37" s="35">
        <v>2</v>
      </c>
      <c r="G37" s="35">
        <v>0.30499999999999999</v>
      </c>
      <c r="H37" s="35">
        <v>0.254</v>
      </c>
      <c r="I37" s="35"/>
      <c r="J37" s="110"/>
      <c r="K37" s="35"/>
      <c r="L37" s="35"/>
      <c r="M37" s="93"/>
      <c r="N37" s="93"/>
      <c r="O37" s="3"/>
      <c r="P37" s="93"/>
      <c r="Q37" s="299"/>
      <c r="R37" s="301"/>
      <c r="S37" s="36">
        <f t="shared" si="22"/>
        <v>8.1625000000058208</v>
      </c>
      <c r="T37" s="107">
        <f t="shared" si="23"/>
        <v>0.92638888888905058</v>
      </c>
      <c r="U37" s="5">
        <f t="shared" si="24"/>
        <v>7.5224290498854227</v>
      </c>
      <c r="V37" s="68">
        <f t="shared" si="25"/>
        <v>1.142428785606997E-2</v>
      </c>
      <c r="W37" s="68">
        <f t="shared" si="26"/>
        <v>3.7456681495311381E-2</v>
      </c>
      <c r="X37" s="68">
        <f t="shared" si="27"/>
        <v>1.3493253373311E-4</v>
      </c>
      <c r="Y37" s="68">
        <f t="shared" si="28"/>
        <v>2.320824833484492E-2</v>
      </c>
      <c r="Z37" s="68">
        <f t="shared" si="29"/>
        <v>3.7675727816306688E-2</v>
      </c>
      <c r="AA37" s="69">
        <f t="shared" si="32"/>
        <v>1.1059286464170874</v>
      </c>
      <c r="AB37" s="108">
        <f t="shared" si="30"/>
        <v>2.1904632099530724E-4</v>
      </c>
      <c r="AC37" s="109">
        <f t="shared" si="31"/>
        <v>5.8479905920850528E-3</v>
      </c>
      <c r="AD37" s="71" t="s">
        <v>20</v>
      </c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6">
      <c r="A38" s="77" t="s">
        <v>28</v>
      </c>
      <c r="B38" s="78">
        <v>42453.746527777781</v>
      </c>
      <c r="C38" s="14">
        <v>0.624</v>
      </c>
      <c r="D38" s="35">
        <v>7.31</v>
      </c>
      <c r="E38" s="35">
        <v>30.6</v>
      </c>
      <c r="F38" s="35">
        <v>2</v>
      </c>
      <c r="G38" s="35">
        <v>0.30499999999999999</v>
      </c>
      <c r="H38" s="35">
        <v>0.28899999999999998</v>
      </c>
      <c r="I38" s="35"/>
      <c r="J38" s="110"/>
      <c r="K38" s="35"/>
      <c r="L38" s="35"/>
      <c r="M38" s="93"/>
      <c r="N38" s="93"/>
      <c r="O38" s="3"/>
      <c r="P38" s="93"/>
      <c r="Q38" s="299"/>
      <c r="R38" s="301"/>
      <c r="S38" s="36">
        <f t="shared" si="22"/>
        <v>9.2229166666729725</v>
      </c>
      <c r="T38" s="107">
        <f t="shared" si="23"/>
        <v>1.0604166666671517</v>
      </c>
      <c r="U38" s="5">
        <f t="shared" si="24"/>
        <v>8.4699700334919807</v>
      </c>
      <c r="V38" s="68">
        <f t="shared" si="25"/>
        <v>1.1355599214140187E-2</v>
      </c>
      <c r="W38" s="68">
        <f t="shared" si="26"/>
        <v>3.7231472833246515E-2</v>
      </c>
      <c r="X38" s="68">
        <f t="shared" si="27"/>
        <v>3.1434184675820619E-4</v>
      </c>
      <c r="Y38" s="68">
        <f t="shared" si="28"/>
        <v>2.3546780894704033E-2</v>
      </c>
      <c r="Z38" s="68">
        <f t="shared" si="29"/>
        <v>3.7735225792794924E-2</v>
      </c>
      <c r="AA38" s="69">
        <f t="shared" si="32"/>
        <v>1.1041849039266223</v>
      </c>
      <c r="AB38" s="108">
        <f t="shared" si="30"/>
        <v>5.0375295954840915E-4</v>
      </c>
      <c r="AC38" s="109">
        <f t="shared" si="31"/>
        <v>1.3530298997427087E-2</v>
      </c>
      <c r="AD38" s="71" t="s">
        <v>20</v>
      </c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6">
      <c r="A39" s="77" t="s">
        <v>28</v>
      </c>
      <c r="B39" s="78">
        <v>42454.854861111111</v>
      </c>
      <c r="C39" s="14">
        <v>0.60199999999999998</v>
      </c>
      <c r="D39" s="35">
        <v>7.31</v>
      </c>
      <c r="E39" s="35">
        <v>30.6</v>
      </c>
      <c r="F39" s="35">
        <v>2.1</v>
      </c>
      <c r="G39" s="35">
        <v>0.3</v>
      </c>
      <c r="H39" s="35">
        <v>0.32500000000000001</v>
      </c>
      <c r="I39" s="35"/>
      <c r="J39" s="110"/>
      <c r="K39" s="35"/>
      <c r="L39" s="35"/>
      <c r="M39" s="110"/>
      <c r="N39" s="110"/>
      <c r="O39" s="35"/>
      <c r="P39" s="110"/>
      <c r="Q39" s="110"/>
      <c r="R39" s="28"/>
      <c r="S39" s="36">
        <f t="shared" si="22"/>
        <v>10.33125000000291</v>
      </c>
      <c r="T39" s="107">
        <f t="shared" si="23"/>
        <v>1.1083333333299379</v>
      </c>
      <c r="U39" s="5">
        <f t="shared" si="24"/>
        <v>9.5533033668253147</v>
      </c>
      <c r="V39" s="68">
        <f t="shared" si="25"/>
        <v>1.2218045112819386E-2</v>
      </c>
      <c r="W39" s="68">
        <f t="shared" si="26"/>
        <v>4.0726817042731289E-2</v>
      </c>
      <c r="X39" s="68">
        <f t="shared" si="27"/>
        <v>-8.2706766917546679E-4</v>
      </c>
      <c r="Y39" s="68">
        <f t="shared" si="28"/>
        <v>2.369047619054877E-2</v>
      </c>
      <c r="Z39" s="68">
        <f t="shared" si="29"/>
        <v>3.9352950482639155E-2</v>
      </c>
      <c r="AA39" s="69">
        <f t="shared" si="32"/>
        <v>1.0587939698460025</v>
      </c>
      <c r="AB39" s="108">
        <f t="shared" si="30"/>
        <v>-1.3738665600921338E-3</v>
      </c>
      <c r="AC39" s="109">
        <f t="shared" si="31"/>
        <v>-3.3733708152312733E-2</v>
      </c>
      <c r="AD39" s="71" t="s">
        <v>20</v>
      </c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6">
      <c r="A40" s="79" t="s">
        <v>28</v>
      </c>
      <c r="B40" s="80">
        <v>42455.762499999997</v>
      </c>
      <c r="C40" s="15">
        <v>0.61699999999999999</v>
      </c>
      <c r="D40" s="34">
        <v>7.21</v>
      </c>
      <c r="E40" s="34">
        <v>30.6</v>
      </c>
      <c r="F40" s="34">
        <v>2.1</v>
      </c>
      <c r="G40" s="34">
        <v>0.29499999999999998</v>
      </c>
      <c r="H40" s="34">
        <v>0.252</v>
      </c>
      <c r="I40" s="83">
        <f xml:space="preserve"> 900000000000*(C40) - 9000000000</f>
        <v>546300000000</v>
      </c>
      <c r="J40" s="272">
        <v>15.25</v>
      </c>
      <c r="K40" s="263">
        <f>J40*H40</f>
        <v>3.843</v>
      </c>
      <c r="L40" s="263">
        <f>K40/T40</f>
        <v>4.2340627391099916</v>
      </c>
      <c r="M40" s="104">
        <v>2.8123909999999999</v>
      </c>
      <c r="N40" s="84">
        <f>M40/T40</f>
        <v>3.0985792195962238</v>
      </c>
      <c r="O40" s="84">
        <f>M40/(H40)</f>
        <v>11.160281746031746</v>
      </c>
      <c r="P40" s="84">
        <f>((N40*($H40/$T40))/($I40*$G40))*(10^12)</f>
        <v>5.338224483054387</v>
      </c>
      <c r="Q40" s="263">
        <f>((L40*($H40/$T40))/($I40*$G40))*(10^12)</f>
        <v>7.2944326334346865</v>
      </c>
      <c r="R40" s="289">
        <f>AVERAGE(P40:Q40)</f>
        <v>6.3163285582445372</v>
      </c>
      <c r="S40" s="7">
        <f t="shared" si="22"/>
        <v>11.238888888889051</v>
      </c>
      <c r="T40" s="85">
        <f t="shared" si="23"/>
        <v>0.90763888888614019</v>
      </c>
      <c r="U40" s="8">
        <f t="shared" si="24"/>
        <v>10.407540654960908</v>
      </c>
      <c r="V40" s="86">
        <f t="shared" si="25"/>
        <v>1.1568477429262272E-2</v>
      </c>
      <c r="W40" s="86">
        <f t="shared" si="26"/>
        <v>3.9215177726312792E-2</v>
      </c>
      <c r="X40" s="86">
        <f t="shared" si="27"/>
        <v>6.885998469798977E-4</v>
      </c>
      <c r="Y40" s="86">
        <f t="shared" si="28"/>
        <v>2.4884364504114891E-2</v>
      </c>
      <c r="Z40" s="86">
        <f t="shared" si="29"/>
        <v>4.0331222859181351E-2</v>
      </c>
      <c r="AA40" s="87">
        <f t="shared" si="32"/>
        <v>1.0331119096524322</v>
      </c>
      <c r="AB40" s="86">
        <f t="shared" si="30"/>
        <v>1.1160451328685594E-3</v>
      </c>
      <c r="AC40" s="105">
        <f t="shared" si="31"/>
        <v>2.8459519950606013E-2</v>
      </c>
      <c r="AD40" s="89" t="s">
        <v>24</v>
      </c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7" thickBot="1">
      <c r="A41" s="111" t="s">
        <v>28</v>
      </c>
      <c r="B41" s="112">
        <v>42456.709027777775</v>
      </c>
      <c r="C41" s="113">
        <v>0.6</v>
      </c>
      <c r="D41" s="114">
        <v>7.04</v>
      </c>
      <c r="E41" s="114">
        <v>30.5</v>
      </c>
      <c r="F41" s="114">
        <v>2.1</v>
      </c>
      <c r="G41" s="114">
        <v>0.3</v>
      </c>
      <c r="H41" s="114">
        <v>0.26700000000000002</v>
      </c>
      <c r="I41" s="115">
        <f xml:space="preserve"> 900000000000*(C41) - 9000000000</f>
        <v>531000000000</v>
      </c>
      <c r="J41" s="273">
        <v>15.65</v>
      </c>
      <c r="K41" s="284">
        <f>J41*H41</f>
        <v>4.1785500000000004</v>
      </c>
      <c r="L41" s="284">
        <f>K41/T41</f>
        <v>4.4146089508422195</v>
      </c>
      <c r="M41" s="116">
        <v>3.5521440000000002</v>
      </c>
      <c r="N41" s="117">
        <f>M41/T41</f>
        <v>3.7528153778417113</v>
      </c>
      <c r="O41" s="117">
        <f>M41/(H41)</f>
        <v>13.303910112359551</v>
      </c>
      <c r="P41" s="84">
        <f>((N41*($H41/$T41))/($I41*$G41))*(10^12)</f>
        <v>6.6453723690821231</v>
      </c>
      <c r="Q41" s="263">
        <f>((L41*($H41/$T41))/($I41*$G41))*(10^12)</f>
        <v>7.8172564830784195</v>
      </c>
      <c r="R41" s="289">
        <f>AVERAGE(P41:Q41)</f>
        <v>7.2313144260802709</v>
      </c>
      <c r="S41" s="118">
        <f t="shared" si="22"/>
        <v>12.185416666667152</v>
      </c>
      <c r="T41" s="119">
        <f t="shared" si="23"/>
        <v>0.94652777777810115</v>
      </c>
      <c r="U41" s="120">
        <f t="shared" si="24"/>
        <v>11.297540654960908</v>
      </c>
      <c r="V41" s="121">
        <f t="shared" si="25"/>
        <v>1.1753484959643821E-2</v>
      </c>
      <c r="W41" s="121">
        <f t="shared" si="26"/>
        <v>3.9178283198812738E-2</v>
      </c>
      <c r="X41" s="121">
        <f t="shared" si="27"/>
        <v>-7.4834922964024393E-4</v>
      </c>
      <c r="Y41" s="121">
        <f t="shared" si="28"/>
        <v>2.2758620689647398E-2</v>
      </c>
      <c r="Z41" s="121">
        <f t="shared" si="29"/>
        <v>3.7931034482745665E-2</v>
      </c>
      <c r="AA41" s="122">
        <f t="shared" si="32"/>
        <v>1.0984848484852237</v>
      </c>
      <c r="AB41" s="121">
        <f t="shared" si="30"/>
        <v>-1.2472487160670731E-3</v>
      </c>
      <c r="AC41" s="123">
        <f t="shared" si="31"/>
        <v>-3.1835205992509386E-2</v>
      </c>
      <c r="AD41" s="124" t="s">
        <v>25</v>
      </c>
      <c r="AG41" s="3"/>
      <c r="AH41" s="3"/>
      <c r="AI41" s="3"/>
      <c r="AJ41" s="3"/>
      <c r="AK41" s="3"/>
      <c r="AL41" s="3"/>
      <c r="AM41" s="3"/>
      <c r="AN41" s="3"/>
      <c r="AO41" s="3"/>
    </row>
    <row r="42" spans="1:41" s="214" customFormat="1" ht="16" thickBot="1">
      <c r="A42" s="209"/>
      <c r="B42" s="210"/>
      <c r="C42" s="211"/>
      <c r="D42" s="212"/>
      <c r="E42" s="212"/>
      <c r="F42" s="212"/>
      <c r="G42" s="212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3"/>
      <c r="U42" s="211"/>
      <c r="AA42" s="215"/>
      <c r="AF42" s="216"/>
      <c r="AH42" s="216"/>
      <c r="AI42" s="216"/>
      <c r="AJ42" s="216"/>
      <c r="AK42" s="216"/>
      <c r="AL42" s="216"/>
      <c r="AM42" s="216"/>
      <c r="AN42" s="216"/>
      <c r="AO42" s="216"/>
    </row>
    <row r="43" spans="1:41">
      <c r="A43" s="230" t="s">
        <v>35</v>
      </c>
      <c r="B43" s="37"/>
      <c r="C43" s="38"/>
      <c r="D43" s="39"/>
      <c r="E43" s="39"/>
      <c r="F43" s="39"/>
      <c r="G43" s="39"/>
      <c r="H43" s="38"/>
      <c r="I43" s="38"/>
      <c r="J43" s="38"/>
      <c r="K43" s="38"/>
      <c r="L43" s="38"/>
      <c r="O43" s="201" t="s">
        <v>38</v>
      </c>
      <c r="P43" s="202">
        <f>AVERAGE(P11:P20)</f>
        <v>5.2999756448121591</v>
      </c>
      <c r="Q43" s="202">
        <f>AVERAGE(Q11:Q20)</f>
        <v>7.1847817531622171</v>
      </c>
      <c r="R43" s="296">
        <f>AVERAGE(P11:Q20)</f>
        <v>6.2423786989871877</v>
      </c>
      <c r="U43" s="38"/>
      <c r="Z43" s="26"/>
      <c r="AH43" s="3"/>
      <c r="AI43" s="3"/>
      <c r="AJ43" s="3"/>
      <c r="AK43" s="3"/>
      <c r="AL43" s="3"/>
      <c r="AM43" s="3"/>
      <c r="AN43" s="3"/>
      <c r="AO43" s="3"/>
    </row>
    <row r="44" spans="1:41" ht="16">
      <c r="A44" s="231" t="s">
        <v>30</v>
      </c>
      <c r="B44" s="37"/>
      <c r="C44" s="38"/>
      <c r="D44" s="39"/>
      <c r="E44" s="39"/>
      <c r="F44" s="39"/>
      <c r="G44" s="39"/>
      <c r="H44" s="38"/>
      <c r="I44" s="38"/>
      <c r="J44" s="38"/>
      <c r="K44" s="38"/>
      <c r="L44" s="38"/>
      <c r="O44" s="203" t="s">
        <v>39</v>
      </c>
      <c r="P44" s="204">
        <f>STDEV(P11:P21)</f>
        <v>1.2338929358227786</v>
      </c>
      <c r="Q44" s="204">
        <f>STDEV(Q11:Q21)</f>
        <v>0.90675463250758692</v>
      </c>
      <c r="R44" s="296">
        <f>STDEV(P11:Q20)</f>
        <v>1.4243914149860504</v>
      </c>
      <c r="U44" s="38"/>
      <c r="Z44" s="26"/>
      <c r="AH44" s="3"/>
      <c r="AI44" s="3"/>
      <c r="AJ44" s="3"/>
      <c r="AK44" s="3"/>
      <c r="AL44" s="3"/>
      <c r="AM44" s="3"/>
      <c r="AN44" s="3"/>
      <c r="AO44" s="3"/>
    </row>
    <row r="45" spans="1:41" ht="16">
      <c r="A45" s="231" t="s">
        <v>31</v>
      </c>
      <c r="O45" s="205" t="s">
        <v>36</v>
      </c>
      <c r="P45" s="206">
        <f>AVERAGE(P33:P41)</f>
        <v>5.8270071540445354</v>
      </c>
      <c r="Q45" s="206">
        <f>AVERAGE(Q33:Q41)</f>
        <v>7.5449333370964498</v>
      </c>
      <c r="R45" s="296">
        <f>AVERAGE(P34:Q41)</f>
        <v>6.685970245570493</v>
      </c>
      <c r="AH45" s="3"/>
      <c r="AI45" s="3"/>
      <c r="AJ45" s="3"/>
      <c r="AK45" s="3"/>
      <c r="AL45" s="3"/>
      <c r="AM45" s="3"/>
      <c r="AN45" s="3"/>
      <c r="AO45" s="3"/>
    </row>
    <row r="46" spans="1:41" ht="16" thickBot="1">
      <c r="O46" s="207" t="s">
        <v>37</v>
      </c>
      <c r="P46" s="208">
        <f>STDEV(P32:P41)</f>
        <v>0.54671440560363382</v>
      </c>
      <c r="Q46" s="208">
        <f>STDEV(Q32:Q41)</f>
        <v>0.26181670916633865</v>
      </c>
      <c r="R46" s="296">
        <f>STDEV(P34:Q41)</f>
        <v>0.99151704462354817</v>
      </c>
      <c r="AH46" s="3"/>
      <c r="AI46" s="3"/>
      <c r="AJ46" s="3"/>
      <c r="AK46" s="3"/>
      <c r="AL46" s="3"/>
      <c r="AM46" s="3"/>
      <c r="AN46" s="3"/>
      <c r="AO46" s="3"/>
    </row>
    <row r="47" spans="1:41">
      <c r="AH47" s="3"/>
      <c r="AI47" s="3"/>
      <c r="AJ47" s="3"/>
      <c r="AK47" s="3"/>
      <c r="AL47" s="3"/>
      <c r="AM47" s="3"/>
      <c r="AN47" s="3"/>
      <c r="AO47" s="3"/>
    </row>
    <row r="48" spans="1:41">
      <c r="AH48" s="3"/>
      <c r="AI48" s="3"/>
      <c r="AJ48" s="3"/>
      <c r="AK48" s="3"/>
      <c r="AL48" s="3"/>
      <c r="AM48" s="3"/>
      <c r="AN48" s="3"/>
      <c r="AO48" s="3"/>
    </row>
    <row r="49" spans="34:41">
      <c r="AH49" s="3"/>
      <c r="AI49" s="3"/>
      <c r="AJ49" s="3"/>
      <c r="AK49" s="3"/>
      <c r="AL49" s="3"/>
      <c r="AM49" s="3"/>
      <c r="AN49" s="3"/>
      <c r="AO49" s="3"/>
    </row>
    <row r="50" spans="34:41">
      <c r="AH50" s="3"/>
      <c r="AI50" s="3"/>
      <c r="AJ50" s="3"/>
      <c r="AK50" s="3"/>
      <c r="AL50" s="3"/>
      <c r="AM50" s="3"/>
      <c r="AN50" s="3"/>
      <c r="AO50" s="3"/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73AC3-84A2-6642-B502-C542F6D74DFD}">
  <dimension ref="A1:L13"/>
  <sheetViews>
    <sheetView workbookViewId="0">
      <selection activeCell="A15" sqref="A15"/>
    </sheetView>
  </sheetViews>
  <sheetFormatPr baseColWidth="10" defaultRowHeight="15"/>
  <cols>
    <col min="1" max="1" width="12.83203125" customWidth="1"/>
    <col min="7" max="7" width="16" customWidth="1"/>
    <col min="8" max="8" width="13.83203125" customWidth="1"/>
  </cols>
  <sheetData>
    <row r="1" spans="1:12" ht="16">
      <c r="A1" s="14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16">
      <c r="A2" s="138"/>
      <c r="B2" s="303" t="s">
        <v>93</v>
      </c>
      <c r="C2" s="304"/>
      <c r="D2" s="304"/>
      <c r="E2" s="304"/>
      <c r="F2" s="304"/>
      <c r="G2" s="305"/>
      <c r="H2" s="303" t="s">
        <v>94</v>
      </c>
      <c r="I2" s="304"/>
      <c r="J2" s="305"/>
      <c r="K2" s="243"/>
    </row>
    <row r="3" spans="1:12">
      <c r="A3" s="49"/>
      <c r="B3" s="306" t="s">
        <v>90</v>
      </c>
      <c r="C3" s="307"/>
      <c r="D3" s="307"/>
      <c r="E3" s="307"/>
      <c r="F3" s="307"/>
      <c r="G3" s="146" t="s">
        <v>91</v>
      </c>
      <c r="H3" s="149" t="s">
        <v>90</v>
      </c>
      <c r="I3" s="307" t="s">
        <v>89</v>
      </c>
      <c r="J3" s="308"/>
      <c r="K3" s="244"/>
    </row>
    <row r="4" spans="1:12">
      <c r="A4" s="49"/>
      <c r="B4" s="149" t="s">
        <v>78</v>
      </c>
      <c r="C4" s="139" t="s">
        <v>79</v>
      </c>
      <c r="D4" s="139" t="s">
        <v>80</v>
      </c>
      <c r="E4" s="139" t="s">
        <v>81</v>
      </c>
      <c r="F4" s="139" t="s">
        <v>82</v>
      </c>
      <c r="G4" s="146" t="s">
        <v>82</v>
      </c>
      <c r="H4" s="150" t="s">
        <v>88</v>
      </c>
      <c r="I4" s="147" t="s">
        <v>88</v>
      </c>
      <c r="J4" s="152" t="s">
        <v>88</v>
      </c>
      <c r="K4" s="244" t="s">
        <v>83</v>
      </c>
      <c r="L4" s="147"/>
    </row>
    <row r="5" spans="1:12">
      <c r="A5" s="153" t="s">
        <v>181</v>
      </c>
      <c r="B5" s="233">
        <v>13.7</v>
      </c>
      <c r="C5" s="234">
        <v>13.5</v>
      </c>
      <c r="D5" s="234">
        <v>16.3</v>
      </c>
      <c r="E5" s="234">
        <v>14.5</v>
      </c>
      <c r="F5" s="234">
        <v>14.1</v>
      </c>
      <c r="G5" s="235" t="s">
        <v>86</v>
      </c>
      <c r="H5" s="233">
        <v>29.7</v>
      </c>
      <c r="I5" s="234">
        <v>30.135990000000003</v>
      </c>
      <c r="J5" s="285">
        <v>30.3452409</v>
      </c>
      <c r="K5" s="245">
        <f>F5/H5</f>
        <v>0.47474747474747475</v>
      </c>
    </row>
    <row r="6" spans="1:12">
      <c r="A6" s="236" t="s">
        <v>182</v>
      </c>
      <c r="B6" s="237">
        <v>13.8</v>
      </c>
      <c r="C6" s="238">
        <v>13.3</v>
      </c>
      <c r="D6" s="238">
        <v>15.7</v>
      </c>
      <c r="E6" s="238">
        <v>14</v>
      </c>
      <c r="F6" s="238">
        <v>14.2</v>
      </c>
      <c r="G6" s="239" t="s">
        <v>86</v>
      </c>
      <c r="H6" s="237">
        <v>29.5</v>
      </c>
      <c r="I6" s="238">
        <v>30.050009999999997</v>
      </c>
      <c r="J6" s="286">
        <v>30.2722251</v>
      </c>
      <c r="K6" s="246">
        <f>F6/H6</f>
        <v>0.48135593220338979</v>
      </c>
      <c r="L6" s="249"/>
    </row>
    <row r="7" spans="1:12">
      <c r="A7" s="264" t="s">
        <v>195</v>
      </c>
      <c r="B7" s="265">
        <f>AVERAGE(B5:B6)</f>
        <v>13.75</v>
      </c>
      <c r="C7" s="265">
        <f>AVERAGE(C5:C6)</f>
        <v>13.4</v>
      </c>
      <c r="D7" s="265">
        <f>AVERAGE(D5:D6)</f>
        <v>16</v>
      </c>
      <c r="E7" s="265">
        <f>AVERAGE(E5:E6)</f>
        <v>14.25</v>
      </c>
      <c r="F7" s="265">
        <f>AVERAGE(F5:F6)</f>
        <v>14.149999999999999</v>
      </c>
      <c r="G7" s="266" t="s">
        <v>86</v>
      </c>
      <c r="H7" s="265">
        <f>AVERAGE(H5:H6)</f>
        <v>29.6</v>
      </c>
      <c r="I7" s="265">
        <f>AVERAGE(I5:I6)</f>
        <v>30.093</v>
      </c>
      <c r="J7" s="265">
        <f>AVERAGE(J5:J6)</f>
        <v>30.308733</v>
      </c>
      <c r="K7" s="267">
        <f>F7/H7</f>
        <v>0.47804054054054046</v>
      </c>
      <c r="L7" s="249"/>
    </row>
    <row r="8" spans="1:12">
      <c r="A8" s="268" t="s">
        <v>197</v>
      </c>
      <c r="B8" s="238">
        <f>$H$7-B7</f>
        <v>15.850000000000001</v>
      </c>
      <c r="C8" s="238">
        <f>$H$7-C7</f>
        <v>16.200000000000003</v>
      </c>
      <c r="D8" s="238">
        <f>$H$7-D7</f>
        <v>13.600000000000001</v>
      </c>
      <c r="E8" s="238">
        <f>$H$7-E7</f>
        <v>15.350000000000001</v>
      </c>
      <c r="F8" s="238">
        <f>$H$7-F7</f>
        <v>15.450000000000003</v>
      </c>
      <c r="G8" s="48" t="s">
        <v>20</v>
      </c>
      <c r="H8" s="287" t="s">
        <v>20</v>
      </c>
      <c r="I8" s="287" t="s">
        <v>20</v>
      </c>
      <c r="J8" s="287" t="s">
        <v>20</v>
      </c>
      <c r="K8" s="48" t="s">
        <v>20</v>
      </c>
    </row>
    <row r="9" spans="1:12">
      <c r="A9" s="232" t="s">
        <v>183</v>
      </c>
      <c r="B9" s="151">
        <v>13.5</v>
      </c>
      <c r="C9" s="140">
        <v>15.2</v>
      </c>
      <c r="D9" s="140">
        <v>14.7</v>
      </c>
      <c r="E9" s="140">
        <v>14.9</v>
      </c>
      <c r="F9" s="140">
        <v>13.5</v>
      </c>
      <c r="G9" s="141" t="s">
        <v>86</v>
      </c>
      <c r="H9" s="151">
        <v>29.4</v>
      </c>
      <c r="I9" s="140">
        <v>30.021349999999998</v>
      </c>
      <c r="J9" s="288">
        <v>30.119824800000004</v>
      </c>
      <c r="K9" s="247">
        <f>F9/H9</f>
        <v>0.45918367346938777</v>
      </c>
      <c r="L9" s="249"/>
    </row>
    <row r="10" spans="1:12">
      <c r="A10" s="232" t="s">
        <v>184</v>
      </c>
      <c r="B10" s="151">
        <v>13.7</v>
      </c>
      <c r="C10" s="140">
        <v>12.7</v>
      </c>
      <c r="D10" s="140">
        <v>13.9</v>
      </c>
      <c r="E10" s="140">
        <v>12.4</v>
      </c>
      <c r="F10" s="140">
        <v>13</v>
      </c>
      <c r="G10" s="141" t="s">
        <v>86</v>
      </c>
      <c r="H10" s="151">
        <v>28.4</v>
      </c>
      <c r="I10" s="140">
        <v>30.451250000000002</v>
      </c>
      <c r="J10" s="288">
        <v>30.6715695</v>
      </c>
      <c r="K10" s="247">
        <f>F10/H10</f>
        <v>0.45774647887323944</v>
      </c>
    </row>
    <row r="11" spans="1:12">
      <c r="A11" s="264" t="s">
        <v>196</v>
      </c>
      <c r="B11" s="265">
        <f>AVERAGE(B9:B10)</f>
        <v>13.6</v>
      </c>
      <c r="C11" s="265">
        <f>AVERAGE(C9:C10)</f>
        <v>13.95</v>
      </c>
      <c r="D11" s="265">
        <f>AVERAGE(D9:D10)</f>
        <v>14.3</v>
      </c>
      <c r="E11" s="265">
        <f>AVERAGE(E9:E10)</f>
        <v>13.65</v>
      </c>
      <c r="F11" s="265">
        <f>AVERAGE(F9:F10)</f>
        <v>13.25</v>
      </c>
      <c r="G11" s="266" t="s">
        <v>86</v>
      </c>
      <c r="H11" s="265">
        <f>AVERAGE(H9:H10)</f>
        <v>28.9</v>
      </c>
      <c r="I11" s="265">
        <f>AVERAGE(I9:I10)</f>
        <v>30.2363</v>
      </c>
      <c r="J11" s="265">
        <f>AVERAGE(J9:J10)</f>
        <v>30.395697150000004</v>
      </c>
      <c r="K11" s="267">
        <f>F11/H11</f>
        <v>0.45847750865051906</v>
      </c>
    </row>
    <row r="12" spans="1:12">
      <c r="A12" s="268" t="s">
        <v>199</v>
      </c>
      <c r="B12" s="238">
        <f>$H$11-B11</f>
        <v>15.299999999999999</v>
      </c>
      <c r="C12" s="238">
        <f>$H$11-C11</f>
        <v>14.95</v>
      </c>
      <c r="D12" s="238">
        <f>$H$11-D11</f>
        <v>14.599999999999998</v>
      </c>
      <c r="E12" s="238">
        <f>$H$11-E11</f>
        <v>15.249999999999998</v>
      </c>
      <c r="F12" s="238">
        <f>$H$11-F11</f>
        <v>15.649999999999999</v>
      </c>
      <c r="G12" s="48" t="s">
        <v>20</v>
      </c>
      <c r="H12" s="48" t="s">
        <v>20</v>
      </c>
      <c r="I12" s="48" t="s">
        <v>20</v>
      </c>
      <c r="J12" s="48" t="s">
        <v>20</v>
      </c>
      <c r="K12" s="48" t="s">
        <v>20</v>
      </c>
    </row>
    <row r="13" spans="1:12">
      <c r="A13" s="269" t="s">
        <v>198</v>
      </c>
      <c r="B13" s="240" t="s">
        <v>85</v>
      </c>
      <c r="C13" s="241" t="s">
        <v>85</v>
      </c>
      <c r="D13" s="241" t="s">
        <v>85</v>
      </c>
      <c r="E13" s="241" t="s">
        <v>85</v>
      </c>
      <c r="F13" s="241" t="s">
        <v>85</v>
      </c>
      <c r="G13" s="242" t="s">
        <v>84</v>
      </c>
      <c r="H13" s="240" t="s">
        <v>85</v>
      </c>
      <c r="I13" s="241" t="s">
        <v>84</v>
      </c>
      <c r="J13" s="242" t="s">
        <v>85</v>
      </c>
      <c r="K13" s="248"/>
    </row>
  </sheetData>
  <mergeCells count="4">
    <mergeCell ref="B2:G2"/>
    <mergeCell ref="H2:J2"/>
    <mergeCell ref="B3:F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C81B1-CB9E-C74F-9796-6BC3924E0835}">
  <dimension ref="A1:AU255"/>
  <sheetViews>
    <sheetView zoomScaleNormal="150" zoomScalePageLayoutView="150" workbookViewId="0">
      <selection activeCell="K31" sqref="K31"/>
    </sheetView>
  </sheetViews>
  <sheetFormatPr baseColWidth="10" defaultColWidth="8.83203125" defaultRowHeight="15"/>
  <cols>
    <col min="1" max="1" width="15.6640625" customWidth="1"/>
    <col min="2" max="2" width="12" style="154" bestFit="1" customWidth="1"/>
    <col min="5" max="5" width="12.83203125" customWidth="1"/>
    <col min="6" max="6" width="12.33203125" customWidth="1"/>
    <col min="13" max="13" width="13.83203125" customWidth="1"/>
    <col min="15" max="15" width="10.83203125" customWidth="1"/>
    <col min="16" max="16" width="9.6640625" bestFit="1" customWidth="1"/>
  </cols>
  <sheetData>
    <row r="1" spans="1:47">
      <c r="A1" t="s">
        <v>128</v>
      </c>
      <c r="B1" s="154" t="s">
        <v>180</v>
      </c>
      <c r="C1" t="s">
        <v>179</v>
      </c>
    </row>
    <row r="2" spans="1:47" ht="32">
      <c r="A2" s="158" t="s">
        <v>178</v>
      </c>
      <c r="B2" s="184">
        <v>42766.645833333336</v>
      </c>
      <c r="C2" s="158">
        <v>0</v>
      </c>
      <c r="D2" s="158"/>
      <c r="E2" s="158"/>
      <c r="F2" s="158" t="s">
        <v>163</v>
      </c>
      <c r="G2" s="158" t="s">
        <v>177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</row>
    <row r="3" spans="1:47" ht="16">
      <c r="A3" s="158" t="s">
        <v>176</v>
      </c>
      <c r="B3" s="184">
        <v>42767.584027777775</v>
      </c>
      <c r="C3" s="158">
        <v>0.23</v>
      </c>
      <c r="D3" s="158"/>
      <c r="E3" s="158"/>
      <c r="F3" s="158">
        <v>0</v>
      </c>
      <c r="G3" s="158"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</row>
    <row r="4" spans="1:47" ht="16">
      <c r="A4" s="158" t="s">
        <v>175</v>
      </c>
      <c r="B4" s="184">
        <v>42767.584722222222</v>
      </c>
      <c r="C4" s="158">
        <v>0.40400000000000003</v>
      </c>
      <c r="D4" s="158"/>
      <c r="E4" s="158"/>
      <c r="F4" s="158">
        <v>3.125E-2</v>
      </c>
      <c r="G4" s="158">
        <v>0.23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</row>
    <row r="5" spans="1:47" ht="16">
      <c r="A5" s="158" t="s">
        <v>174</v>
      </c>
      <c r="B5" s="184">
        <v>42767.585416666669</v>
      </c>
      <c r="C5" s="158">
        <v>0.88200000000000001</v>
      </c>
      <c r="D5" s="158"/>
      <c r="E5" s="158"/>
      <c r="F5" s="158">
        <v>6.25E-2</v>
      </c>
      <c r="G5" s="158">
        <v>0.40400000000000003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</row>
    <row r="6" spans="1:47" ht="16">
      <c r="A6" s="158" t="s">
        <v>173</v>
      </c>
      <c r="B6" s="184">
        <v>42767.586111111108</v>
      </c>
      <c r="C6" s="158">
        <v>1.641</v>
      </c>
      <c r="D6" s="158"/>
      <c r="E6" s="158"/>
      <c r="F6" s="158">
        <v>0.125</v>
      </c>
      <c r="G6" s="158">
        <v>0.88200000000000001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</row>
    <row r="7" spans="1:47" ht="16">
      <c r="A7" s="158" t="s">
        <v>172</v>
      </c>
      <c r="B7" s="184">
        <v>42767.586805555555</v>
      </c>
      <c r="C7" s="158">
        <v>3.129</v>
      </c>
      <c r="D7" s="158"/>
      <c r="E7" s="158"/>
      <c r="F7" s="158">
        <v>0.25</v>
      </c>
      <c r="G7" s="158">
        <v>1.641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</row>
    <row r="8" spans="1:47" ht="32">
      <c r="A8" s="158" t="s">
        <v>171</v>
      </c>
      <c r="B8" s="184">
        <v>42767.588888888888</v>
      </c>
      <c r="C8" s="158">
        <v>0.214</v>
      </c>
      <c r="D8" s="158"/>
      <c r="E8" s="158" t="s">
        <v>166</v>
      </c>
      <c r="F8" s="158">
        <v>1</v>
      </c>
      <c r="G8" s="158">
        <v>3.129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</row>
    <row r="9" spans="1:47" ht="16">
      <c r="A9" s="158" t="s">
        <v>170</v>
      </c>
      <c r="B9" s="184">
        <v>42767.589583333334</v>
      </c>
      <c r="C9" s="158">
        <v>0.47</v>
      </c>
      <c r="D9" s="158"/>
      <c r="E9" s="158"/>
      <c r="F9" s="158">
        <v>3.125E-2</v>
      </c>
      <c r="G9" s="158">
        <v>0.214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</row>
    <row r="10" spans="1:47" ht="16">
      <c r="A10" s="158" t="s">
        <v>169</v>
      </c>
      <c r="B10" s="184">
        <v>42767.589583333334</v>
      </c>
      <c r="C10" s="158">
        <v>0.77600000000000002</v>
      </c>
      <c r="D10" s="158"/>
      <c r="E10" s="158"/>
      <c r="F10" s="158">
        <v>6.25E-2</v>
      </c>
      <c r="G10" s="158">
        <v>0.47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</row>
    <row r="11" spans="1:47" ht="16">
      <c r="A11" s="158" t="s">
        <v>168</v>
      </c>
      <c r="B11" s="184">
        <v>42767.590277777781</v>
      </c>
      <c r="C11" s="158">
        <v>1.671</v>
      </c>
      <c r="D11" s="158"/>
      <c r="E11" s="158"/>
      <c r="F11" s="158">
        <v>0.125</v>
      </c>
      <c r="G11" s="158">
        <v>0.77600000000000002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</row>
    <row r="12" spans="1:47" ht="16">
      <c r="A12" s="158" t="s">
        <v>167</v>
      </c>
      <c r="B12" s="184">
        <v>42767.59097222222</v>
      </c>
      <c r="C12" s="158">
        <v>3.1619999999999999</v>
      </c>
      <c r="D12" s="158"/>
      <c r="E12" s="158"/>
      <c r="F12" s="158">
        <v>0.25</v>
      </c>
      <c r="G12" s="158">
        <v>1.671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</row>
    <row r="13" spans="1:47" ht="32">
      <c r="B13" s="155"/>
      <c r="E13" s="158" t="s">
        <v>166</v>
      </c>
      <c r="F13" s="158">
        <v>1</v>
      </c>
      <c r="G13" s="158">
        <v>3.1619999999999999</v>
      </c>
    </row>
    <row r="14" spans="1:47">
      <c r="B14" s="155"/>
    </row>
    <row r="15" spans="1:47" ht="80">
      <c r="A15" s="158" t="s">
        <v>165</v>
      </c>
      <c r="B15" s="155"/>
      <c r="F15" t="s">
        <v>164</v>
      </c>
    </row>
    <row r="16" spans="1:47" ht="16" thickBot="1">
      <c r="A16" s="158"/>
      <c r="B16" s="155"/>
    </row>
    <row r="17" spans="1:16" ht="48">
      <c r="B17" s="155"/>
      <c r="F17" s="158" t="s">
        <v>163</v>
      </c>
      <c r="G17" t="s">
        <v>162</v>
      </c>
      <c r="L17" s="174" t="s">
        <v>128</v>
      </c>
      <c r="M17" s="173" t="s">
        <v>127</v>
      </c>
      <c r="N17" s="172" t="s">
        <v>126</v>
      </c>
      <c r="O17" s="183" t="s">
        <v>161</v>
      </c>
      <c r="P17" s="170" t="s">
        <v>160</v>
      </c>
    </row>
    <row r="18" spans="1:16" ht="16">
      <c r="A18" s="158" t="s">
        <v>159</v>
      </c>
      <c r="B18" s="159">
        <v>42767.72152777778</v>
      </c>
      <c r="C18" s="158">
        <v>1.403</v>
      </c>
      <c r="F18" s="42">
        <f t="shared" ref="F18:F27" si="0" xml:space="preserve"> 0.1519*(C18) - 0.0019</f>
        <v>0.21121570000000001</v>
      </c>
      <c r="G18" s="42">
        <f t="shared" ref="G18:G27" si="1">F18/(10/1000)</f>
        <v>21.121570000000002</v>
      </c>
      <c r="L18" s="167" t="s">
        <v>158</v>
      </c>
      <c r="M18" s="166">
        <f>AVERAGE(G18,G23)</f>
        <v>19.731684999999999</v>
      </c>
      <c r="N18" s="166">
        <f>STDEV(G18,G23)</f>
        <v>1.9655942171389311</v>
      </c>
      <c r="O18" s="179">
        <f>M18*0.1</f>
        <v>1.9731684999999999</v>
      </c>
      <c r="P18" s="178">
        <f>O18+O42</f>
        <v>1.9746625</v>
      </c>
    </row>
    <row r="19" spans="1:16" ht="16">
      <c r="A19" s="158" t="s">
        <v>157</v>
      </c>
      <c r="B19" s="159">
        <v>42767.722222222219</v>
      </c>
      <c r="C19" s="158">
        <v>2.2410000000000001</v>
      </c>
      <c r="F19" s="42">
        <f t="shared" si="0"/>
        <v>0.33850790000000003</v>
      </c>
      <c r="G19" s="42">
        <f t="shared" si="1"/>
        <v>33.850790000000003</v>
      </c>
      <c r="L19" s="167" t="s">
        <v>156</v>
      </c>
      <c r="M19" s="166">
        <f>AVERAGE(G19,G24)</f>
        <v>32.810275000000004</v>
      </c>
      <c r="N19" s="166">
        <f>STDEV(G19,G24)</f>
        <v>1.4715104248526423</v>
      </c>
      <c r="O19" s="179">
        <f>M19*0.1</f>
        <v>3.2810275000000004</v>
      </c>
      <c r="P19" s="178">
        <f>O19+O43</f>
        <v>3.3691045000000006</v>
      </c>
    </row>
    <row r="20" spans="1:16" ht="16">
      <c r="A20" s="158" t="s">
        <v>155</v>
      </c>
      <c r="B20" s="159">
        <v>42767.723611111112</v>
      </c>
      <c r="C20" s="158">
        <v>2.3330000000000002</v>
      </c>
      <c r="F20" s="42">
        <f t="shared" si="0"/>
        <v>0.35248270000000004</v>
      </c>
      <c r="G20" s="42">
        <f t="shared" si="1"/>
        <v>35.248270000000005</v>
      </c>
      <c r="L20" s="167" t="s">
        <v>154</v>
      </c>
      <c r="M20" s="166">
        <f>AVERAGE(G20,G25)</f>
        <v>34.663454999999999</v>
      </c>
      <c r="N20" s="166">
        <f>STDEV(G20,G25)</f>
        <v>0.8270533044792252</v>
      </c>
      <c r="O20" s="179">
        <f>M20*0.1</f>
        <v>3.4663455000000001</v>
      </c>
      <c r="P20" s="178">
        <f>O20+O44</f>
        <v>3.4963967</v>
      </c>
    </row>
    <row r="21" spans="1:16" ht="16">
      <c r="A21" s="158" t="s">
        <v>153</v>
      </c>
      <c r="B21" s="159">
        <v>42767.724999999999</v>
      </c>
      <c r="C21" s="158">
        <v>1.841</v>
      </c>
      <c r="F21" s="42">
        <f t="shared" si="0"/>
        <v>0.27774789999999999</v>
      </c>
      <c r="G21" s="42">
        <f t="shared" si="1"/>
        <v>27.774789999999999</v>
      </c>
      <c r="L21" s="167" t="s">
        <v>152</v>
      </c>
      <c r="M21" s="166">
        <f>AVERAGE(G21,G26)</f>
        <v>28.959609999999998</v>
      </c>
      <c r="N21" s="166">
        <f>STDEV(G21,G26)</f>
        <v>1.6755885129708907</v>
      </c>
      <c r="O21" s="179">
        <f>M21*0.1</f>
        <v>2.8959609999999998</v>
      </c>
      <c r="P21" s="178">
        <f>O21+O45</f>
        <v>2.9627719999999997</v>
      </c>
    </row>
    <row r="22" spans="1:16" ht="16">
      <c r="A22" s="158" t="s">
        <v>151</v>
      </c>
      <c r="B22" s="159">
        <v>42767.726388888892</v>
      </c>
      <c r="C22" s="158">
        <v>2.2559999999999998</v>
      </c>
      <c r="F22" s="42">
        <f t="shared" si="0"/>
        <v>0.34078639999999999</v>
      </c>
      <c r="G22" s="42">
        <f t="shared" si="1"/>
        <v>34.07864</v>
      </c>
      <c r="L22" s="167" t="s">
        <v>150</v>
      </c>
      <c r="M22" s="166">
        <f>AVERAGE(G22,G27)</f>
        <v>34.701430000000002</v>
      </c>
      <c r="N22" s="166">
        <f>STDEV(G22,G27)</f>
        <v>0.88075806451033756</v>
      </c>
      <c r="O22" s="179">
        <f>M22*0.1</f>
        <v>3.4701430000000002</v>
      </c>
      <c r="P22" s="178">
        <f>O22+O46</f>
        <v>3.6523980000000003</v>
      </c>
    </row>
    <row r="23" spans="1:16" ht="16">
      <c r="A23" s="158" t="s">
        <v>149</v>
      </c>
      <c r="B23" s="159">
        <v>42767.727083333331</v>
      </c>
      <c r="C23" s="158">
        <v>1.22</v>
      </c>
      <c r="F23" s="42">
        <f t="shared" si="0"/>
        <v>0.183418</v>
      </c>
      <c r="G23" s="42">
        <f t="shared" si="1"/>
        <v>18.341799999999999</v>
      </c>
      <c r="L23" s="169"/>
      <c r="M23" s="180"/>
      <c r="N23" s="179"/>
      <c r="O23" s="180"/>
      <c r="P23" s="178"/>
    </row>
    <row r="24" spans="1:16" ht="16">
      <c r="A24" s="158" t="s">
        <v>148</v>
      </c>
      <c r="B24" s="159">
        <v>42767.729861111111</v>
      </c>
      <c r="C24" s="158">
        <v>2.1040000000000001</v>
      </c>
      <c r="F24" s="42">
        <f t="shared" si="0"/>
        <v>0.31769760000000002</v>
      </c>
      <c r="G24" s="42">
        <f t="shared" si="1"/>
        <v>31.769760000000002</v>
      </c>
      <c r="L24" s="169"/>
      <c r="M24" s="180"/>
      <c r="N24" s="179"/>
      <c r="O24" s="180"/>
      <c r="P24" s="178"/>
    </row>
    <row r="25" spans="1:16" ht="16">
      <c r="A25" s="158" t="s">
        <v>147</v>
      </c>
      <c r="B25" s="159">
        <v>42767.729166666664</v>
      </c>
      <c r="C25" s="158">
        <v>2.2559999999999998</v>
      </c>
      <c r="F25" s="42">
        <f t="shared" si="0"/>
        <v>0.34078639999999999</v>
      </c>
      <c r="G25" s="42">
        <f t="shared" si="1"/>
        <v>34.07864</v>
      </c>
      <c r="L25" s="169"/>
      <c r="M25" s="180"/>
      <c r="N25" s="179"/>
      <c r="O25" s="180"/>
      <c r="P25" s="178"/>
    </row>
    <row r="26" spans="1:16" ht="16">
      <c r="A26" s="158" t="s">
        <v>146</v>
      </c>
      <c r="B26" s="159">
        <v>42767.731944444444</v>
      </c>
      <c r="C26" s="158">
        <v>1.9970000000000001</v>
      </c>
      <c r="F26" s="42">
        <f t="shared" si="0"/>
        <v>0.3014443</v>
      </c>
      <c r="G26" s="42">
        <f t="shared" si="1"/>
        <v>30.14443</v>
      </c>
      <c r="L26" s="169"/>
      <c r="M26" s="180"/>
      <c r="N26" s="179"/>
      <c r="O26" s="180"/>
      <c r="P26" s="178"/>
    </row>
    <row r="27" spans="1:16" ht="16">
      <c r="A27" s="158" t="s">
        <v>145</v>
      </c>
      <c r="B27" s="159">
        <v>42767.734027777777</v>
      </c>
      <c r="C27" s="158">
        <v>2.3380000000000001</v>
      </c>
      <c r="F27" s="42">
        <f t="shared" si="0"/>
        <v>0.35324220000000001</v>
      </c>
      <c r="G27" s="42">
        <f t="shared" si="1"/>
        <v>35.324219999999997</v>
      </c>
      <c r="L27" s="169"/>
      <c r="M27" s="180"/>
      <c r="N27" s="179"/>
      <c r="O27" s="180"/>
      <c r="P27" s="178"/>
    </row>
    <row r="28" spans="1:16">
      <c r="B28"/>
      <c r="F28" s="42"/>
      <c r="G28" s="42"/>
      <c r="L28" s="167"/>
      <c r="M28" s="182"/>
      <c r="N28" s="181"/>
      <c r="O28" s="180"/>
      <c r="P28" s="178"/>
    </row>
    <row r="29" spans="1:16" ht="16">
      <c r="A29" s="158" t="s">
        <v>144</v>
      </c>
      <c r="B29" s="159">
        <v>42767.737500000003</v>
      </c>
      <c r="C29" s="158">
        <v>2.0049999999999999</v>
      </c>
      <c r="F29" s="42">
        <f t="shared" ref="F29:F38" si="2" xml:space="preserve"> 0.1519*(C29) - 0.0019</f>
        <v>0.30265949999999997</v>
      </c>
      <c r="G29" s="42">
        <f t="shared" ref="G29:G38" si="3">F29/(10/1000)</f>
        <v>30.265949999999997</v>
      </c>
      <c r="L29" s="167" t="s">
        <v>143</v>
      </c>
      <c r="M29" s="166">
        <f>AVERAGE(G29,G34)</f>
        <v>29.779869999999999</v>
      </c>
      <c r="N29" s="166">
        <f>STDEV(G29,G34)</f>
        <v>0.6874209283983107</v>
      </c>
      <c r="O29" s="179">
        <f>M29*0.1</f>
        <v>2.9779870000000002</v>
      </c>
      <c r="P29" s="178">
        <f>O29+O53</f>
        <v>2.9779870000000002</v>
      </c>
    </row>
    <row r="30" spans="1:16" ht="16">
      <c r="A30" s="158" t="s">
        <v>142</v>
      </c>
      <c r="B30" s="159">
        <v>42767.738194444442</v>
      </c>
      <c r="C30" s="158">
        <v>2.0630000000000002</v>
      </c>
      <c r="F30" s="42">
        <f t="shared" si="2"/>
        <v>0.31146970000000002</v>
      </c>
      <c r="G30" s="42">
        <f t="shared" si="3"/>
        <v>31.14697</v>
      </c>
      <c r="L30" s="167" t="s">
        <v>141</v>
      </c>
      <c r="M30" s="166">
        <f>AVERAGE(G30,G35)</f>
        <v>31.549505000000003</v>
      </c>
      <c r="N30" s="166">
        <f>STDEV(G30,G35)</f>
        <v>0.56927045632985684</v>
      </c>
      <c r="O30" s="179">
        <f>M30*0.1</f>
        <v>3.1549505000000004</v>
      </c>
      <c r="P30" s="178">
        <f>O30+O54</f>
        <v>3.1898625000000003</v>
      </c>
    </row>
    <row r="31" spans="1:16" ht="16">
      <c r="A31" s="158" t="s">
        <v>140</v>
      </c>
      <c r="B31" s="159">
        <v>42767.738888888889</v>
      </c>
      <c r="C31" s="158">
        <v>2.1890000000000001</v>
      </c>
      <c r="F31" s="42">
        <f t="shared" si="2"/>
        <v>0.33060909999999999</v>
      </c>
      <c r="G31" s="42">
        <f t="shared" si="3"/>
        <v>33.06091</v>
      </c>
      <c r="L31" s="167" t="s">
        <v>139</v>
      </c>
      <c r="M31" s="166">
        <f>AVERAGE(G31,G36)</f>
        <v>33.600155000000001</v>
      </c>
      <c r="N31" s="166">
        <f>STDEV(G31,G36)</f>
        <v>0.76260759244187615</v>
      </c>
      <c r="O31" s="179">
        <f>M31*0.1</f>
        <v>3.3600155000000003</v>
      </c>
      <c r="P31" s="178">
        <f>O31+O55</f>
        <v>3.4055605000000004</v>
      </c>
    </row>
    <row r="32" spans="1:16" ht="16">
      <c r="A32" s="158" t="s">
        <v>138</v>
      </c>
      <c r="B32" s="159">
        <v>42767.740277777775</v>
      </c>
      <c r="C32" s="158">
        <v>1.796</v>
      </c>
      <c r="F32" s="42">
        <f t="shared" si="2"/>
        <v>0.2709124</v>
      </c>
      <c r="G32" s="42">
        <f t="shared" si="3"/>
        <v>27.091239999999999</v>
      </c>
      <c r="L32" s="167" t="s">
        <v>137</v>
      </c>
      <c r="M32" s="166">
        <f>AVERAGE(G32,G37)</f>
        <v>27.78998</v>
      </c>
      <c r="N32" s="166">
        <f>STDEV(G32,G37)</f>
        <v>0.98816758457257758</v>
      </c>
      <c r="O32" s="179">
        <f>M32*0.1</f>
        <v>2.7789980000000001</v>
      </c>
      <c r="P32" s="178">
        <f>O32+O56</f>
        <v>2.8123909999999999</v>
      </c>
    </row>
    <row r="33" spans="1:16" ht="17" thickBot="1">
      <c r="A33" s="158" t="s">
        <v>136</v>
      </c>
      <c r="B33" s="159">
        <v>42767.741666666669</v>
      </c>
      <c r="C33" s="158">
        <v>2.3290000000000002</v>
      </c>
      <c r="F33" s="42">
        <f t="shared" si="2"/>
        <v>0.35187510000000005</v>
      </c>
      <c r="G33" s="42">
        <f t="shared" si="3"/>
        <v>35.187510000000003</v>
      </c>
      <c r="L33" s="163" t="s">
        <v>135</v>
      </c>
      <c r="M33" s="162">
        <f>AVERAGE(G33,G38)</f>
        <v>34.762190000000004</v>
      </c>
      <c r="N33" s="162">
        <f>STDEV(G33,G38)</f>
        <v>0.60149331234852377</v>
      </c>
      <c r="O33" s="177">
        <f>M33*0.1</f>
        <v>3.4762190000000004</v>
      </c>
      <c r="P33" s="176">
        <f>O33+O57</f>
        <v>3.5521440000000002</v>
      </c>
    </row>
    <row r="34" spans="1:16" ht="16">
      <c r="A34" s="158" t="s">
        <v>134</v>
      </c>
      <c r="B34" s="159">
        <v>42767.743055555555</v>
      </c>
      <c r="C34" s="158">
        <v>1.9410000000000001</v>
      </c>
      <c r="F34" s="42">
        <f t="shared" si="2"/>
        <v>0.29293790000000003</v>
      </c>
      <c r="G34" s="42">
        <f t="shared" si="3"/>
        <v>29.293790000000001</v>
      </c>
      <c r="L34" s="175"/>
      <c r="M34" s="175"/>
      <c r="N34" s="175"/>
      <c r="O34" s="175"/>
      <c r="P34" s="175"/>
    </row>
    <row r="35" spans="1:16" ht="16">
      <c r="A35" s="158" t="s">
        <v>133</v>
      </c>
      <c r="B35" s="159">
        <v>42767.744444444441</v>
      </c>
      <c r="C35" s="158">
        <v>2.1160000000000001</v>
      </c>
      <c r="F35" s="42">
        <f t="shared" si="2"/>
        <v>0.31952040000000004</v>
      </c>
      <c r="G35" s="42">
        <f t="shared" si="3"/>
        <v>31.952040000000004</v>
      </c>
      <c r="L35" s="175"/>
      <c r="M35" s="175"/>
      <c r="N35" s="175"/>
      <c r="O35" s="175"/>
      <c r="P35" s="175"/>
    </row>
    <row r="36" spans="1:16" ht="16">
      <c r="A36" s="158" t="s">
        <v>132</v>
      </c>
      <c r="B36" s="159">
        <v>42767.745138888888</v>
      </c>
      <c r="C36" s="158">
        <v>2.2599999999999998</v>
      </c>
      <c r="F36" s="42">
        <f t="shared" si="2"/>
        <v>0.34139399999999998</v>
      </c>
      <c r="G36" s="42">
        <f t="shared" si="3"/>
        <v>34.139399999999995</v>
      </c>
      <c r="L36" s="175"/>
      <c r="M36" s="175"/>
      <c r="N36" s="175"/>
      <c r="O36" s="175"/>
      <c r="P36" s="175"/>
    </row>
    <row r="37" spans="1:16" ht="16">
      <c r="A37" s="158" t="s">
        <v>131</v>
      </c>
      <c r="B37" s="159">
        <v>42767.746527777781</v>
      </c>
      <c r="C37" s="158">
        <v>1.8879999999999999</v>
      </c>
      <c r="F37" s="42">
        <f t="shared" si="2"/>
        <v>0.28488720000000001</v>
      </c>
      <c r="G37" s="42">
        <f t="shared" si="3"/>
        <v>28.488720000000001</v>
      </c>
      <c r="L37" s="175"/>
      <c r="M37" s="175"/>
      <c r="N37" s="175"/>
      <c r="O37" s="175"/>
      <c r="P37" s="175"/>
    </row>
    <row r="38" spans="1:16" ht="16">
      <c r="A38" s="158" t="s">
        <v>130</v>
      </c>
      <c r="B38" s="159">
        <v>42767.747916666667</v>
      </c>
      <c r="C38" s="158">
        <v>2.2730000000000001</v>
      </c>
      <c r="F38" s="42">
        <f t="shared" si="2"/>
        <v>0.34336870000000003</v>
      </c>
      <c r="G38" s="42">
        <f t="shared" si="3"/>
        <v>34.336870000000005</v>
      </c>
      <c r="L38" s="175"/>
      <c r="M38" s="175"/>
      <c r="N38" s="175"/>
      <c r="O38" s="175"/>
      <c r="P38" s="175"/>
    </row>
    <row r="39" spans="1:16">
      <c r="B39"/>
      <c r="L39" s="175"/>
      <c r="M39" s="175"/>
      <c r="N39" s="175"/>
      <c r="O39" s="175"/>
      <c r="P39" s="175"/>
    </row>
    <row r="40" spans="1:16" ht="81" thickBot="1">
      <c r="A40" s="158" t="s">
        <v>129</v>
      </c>
      <c r="B40"/>
      <c r="L40" s="175"/>
      <c r="M40" s="175"/>
      <c r="N40" s="175"/>
      <c r="O40" s="175"/>
      <c r="P40" s="175"/>
    </row>
    <row r="41" spans="1:16" ht="48">
      <c r="B41"/>
      <c r="L41" s="174" t="s">
        <v>128</v>
      </c>
      <c r="M41" s="173" t="s">
        <v>127</v>
      </c>
      <c r="N41" s="172" t="s">
        <v>126</v>
      </c>
      <c r="O41" s="171" t="s">
        <v>125</v>
      </c>
      <c r="P41" s="170"/>
    </row>
    <row r="42" spans="1:16" ht="16">
      <c r="A42" s="158" t="s">
        <v>124</v>
      </c>
      <c r="B42" s="159">
        <v>42768.55972222222</v>
      </c>
      <c r="C42" s="158">
        <v>0.02</v>
      </c>
      <c r="F42" s="157">
        <f t="shared" ref="F42:F51" si="4" xml:space="preserve"> 0.1519*(C42) - 0.0019</f>
        <v>1.1380000000000003E-3</v>
      </c>
      <c r="G42">
        <f t="shared" ref="G42:G51" si="5">F42/(15/1000)</f>
        <v>7.5866666666666693E-2</v>
      </c>
      <c r="L42" s="167" t="s">
        <v>123</v>
      </c>
      <c r="M42" s="166">
        <f>AVERAGE(G42,G47)</f>
        <v>4.9800000000000122E-3</v>
      </c>
      <c r="N42" s="166">
        <f>STDEV(G42,G47)</f>
        <v>0.10024888539142081</v>
      </c>
      <c r="O42" s="165">
        <f>M42*0.3</f>
        <v>1.4940000000000036E-3</v>
      </c>
      <c r="P42" s="164"/>
    </row>
    <row r="43" spans="1:16" ht="16">
      <c r="A43" s="158" t="s">
        <v>122</v>
      </c>
      <c r="B43" s="159">
        <v>42768.560416666667</v>
      </c>
      <c r="C43" s="158">
        <v>4.2999999999999997E-2</v>
      </c>
      <c r="F43" s="157">
        <f t="shared" si="4"/>
        <v>4.6316999999999999E-3</v>
      </c>
      <c r="G43">
        <f t="shared" si="5"/>
        <v>0.30878</v>
      </c>
      <c r="L43" s="167" t="s">
        <v>121</v>
      </c>
      <c r="M43" s="166">
        <f>AVERAGE(G43,G48)</f>
        <v>0.29359000000000002</v>
      </c>
      <c r="N43" s="166">
        <f>STDEV(G43,G48)</f>
        <v>2.1481904012447248E-2</v>
      </c>
      <c r="O43" s="165">
        <f>M43*0.3</f>
        <v>8.8077000000000003E-2</v>
      </c>
      <c r="P43" s="164"/>
    </row>
    <row r="44" spans="1:16" ht="16">
      <c r="A44" s="158" t="s">
        <v>120</v>
      </c>
      <c r="B44" s="159">
        <v>42768.561111111114</v>
      </c>
      <c r="C44" s="158">
        <v>4.1000000000000002E-2</v>
      </c>
      <c r="F44" s="157">
        <f t="shared" si="4"/>
        <v>4.3279000000000008E-3</v>
      </c>
      <c r="G44">
        <f t="shared" si="5"/>
        <v>0.28852666666666671</v>
      </c>
      <c r="L44" s="167" t="s">
        <v>119</v>
      </c>
      <c r="M44" s="166">
        <f>AVERAGE(G44,G49)</f>
        <v>0.10017066666666669</v>
      </c>
      <c r="N44" s="166">
        <f>STDEV(G44,G49)</f>
        <v>0.26637560975434676</v>
      </c>
      <c r="O44" s="165">
        <f>M44*0.3</f>
        <v>3.0051200000000004E-2</v>
      </c>
      <c r="P44" s="164"/>
    </row>
    <row r="45" spans="1:16" ht="16">
      <c r="A45" s="158" t="s">
        <v>118</v>
      </c>
      <c r="B45" s="159">
        <v>42768.561805555553</v>
      </c>
      <c r="C45" s="158">
        <v>5.1999999999999998E-2</v>
      </c>
      <c r="F45" s="157">
        <f t="shared" si="4"/>
        <v>5.9987999999999994E-3</v>
      </c>
      <c r="G45">
        <f t="shared" si="5"/>
        <v>0.39992</v>
      </c>
      <c r="L45" s="167" t="s">
        <v>117</v>
      </c>
      <c r="M45" s="166">
        <f>AVERAGE(G45,G50)</f>
        <v>0.22270333333333336</v>
      </c>
      <c r="N45" s="166">
        <f>STDEV(G45,G50)</f>
        <v>0.25062221347855196</v>
      </c>
      <c r="O45" s="165">
        <f>M45*0.3</f>
        <v>6.6811000000000009E-2</v>
      </c>
      <c r="P45" s="164"/>
    </row>
    <row r="46" spans="1:16" ht="16">
      <c r="A46" s="158" t="s">
        <v>116</v>
      </c>
      <c r="B46" s="159">
        <v>42768.5625</v>
      </c>
      <c r="C46" s="158">
        <v>7.1999999999999995E-2</v>
      </c>
      <c r="F46" s="157">
        <f t="shared" si="4"/>
        <v>9.0367999999999993E-3</v>
      </c>
      <c r="G46">
        <f t="shared" si="5"/>
        <v>0.60245333333333329</v>
      </c>
      <c r="L46" s="167" t="s">
        <v>115</v>
      </c>
      <c r="M46" s="166">
        <f>AVERAGE(G46,G51)</f>
        <v>0.6075166666666667</v>
      </c>
      <c r="N46" s="166">
        <f>STDEV(G46,G51)</f>
        <v>7.1606346708158151E-3</v>
      </c>
      <c r="O46" s="165">
        <f>M46*0.3</f>
        <v>0.182255</v>
      </c>
      <c r="P46" s="164"/>
    </row>
    <row r="47" spans="1:16" ht="16">
      <c r="A47" s="158" t="s">
        <v>114</v>
      </c>
      <c r="B47" s="159">
        <v>42768.563888888886</v>
      </c>
      <c r="C47" s="158">
        <v>6.0000000000000001E-3</v>
      </c>
      <c r="F47" s="157">
        <f t="shared" si="4"/>
        <v>-9.8860000000000007E-4</v>
      </c>
      <c r="G47">
        <f t="shared" si="5"/>
        <v>-6.5906666666666669E-2</v>
      </c>
      <c r="L47" s="169"/>
      <c r="M47" s="165"/>
      <c r="N47" s="165"/>
      <c r="O47" s="165"/>
      <c r="P47" s="164"/>
    </row>
    <row r="48" spans="1:16" ht="16">
      <c r="A48" s="158" t="s">
        <v>113</v>
      </c>
      <c r="B48" s="159">
        <v>42768.564583333333</v>
      </c>
      <c r="C48" s="158">
        <v>0.04</v>
      </c>
      <c r="F48" s="157">
        <f t="shared" si="4"/>
        <v>4.1760000000000009E-3</v>
      </c>
      <c r="G48">
        <f t="shared" si="5"/>
        <v>0.27840000000000009</v>
      </c>
      <c r="L48" s="169"/>
      <c r="M48" s="165"/>
      <c r="N48" s="165"/>
      <c r="O48" s="165"/>
      <c r="P48" s="164"/>
    </row>
    <row r="49" spans="1:16" ht="16">
      <c r="A49" s="158" t="s">
        <v>112</v>
      </c>
      <c r="B49" s="159">
        <v>42769.56458327546</v>
      </c>
      <c r="C49" s="158">
        <v>3.8E-3</v>
      </c>
      <c r="F49" s="157">
        <f t="shared" si="4"/>
        <v>-1.32278E-3</v>
      </c>
      <c r="G49">
        <f t="shared" si="5"/>
        <v>-8.8185333333333338E-2</v>
      </c>
      <c r="L49" s="169"/>
      <c r="M49" s="165"/>
      <c r="N49" s="165"/>
      <c r="O49" s="165"/>
      <c r="P49" s="164"/>
    </row>
    <row r="50" spans="1:16" ht="16">
      <c r="A50" s="158" t="s">
        <v>111</v>
      </c>
      <c r="B50" s="159">
        <v>42768.565972222219</v>
      </c>
      <c r="C50" s="158">
        <v>1.7000000000000001E-2</v>
      </c>
      <c r="F50" s="157">
        <f t="shared" si="4"/>
        <v>6.8230000000000048E-4</v>
      </c>
      <c r="G50">
        <f t="shared" si="5"/>
        <v>4.5486666666666703E-2</v>
      </c>
      <c r="L50" s="169"/>
      <c r="M50" s="165"/>
      <c r="N50" s="165"/>
      <c r="O50" s="165"/>
      <c r="P50" s="164"/>
    </row>
    <row r="51" spans="1:16" ht="16">
      <c r="A51" s="158" t="s">
        <v>110</v>
      </c>
      <c r="B51" s="159">
        <v>42768.566666666666</v>
      </c>
      <c r="C51" s="158">
        <v>7.2999999999999995E-2</v>
      </c>
      <c r="F51" s="157">
        <f t="shared" si="4"/>
        <v>9.1886999999999993E-3</v>
      </c>
      <c r="G51">
        <f t="shared" si="5"/>
        <v>0.61258000000000001</v>
      </c>
      <c r="L51" s="169"/>
      <c r="M51" s="165"/>
      <c r="N51" s="165"/>
      <c r="O51" s="165"/>
      <c r="P51" s="164"/>
    </row>
    <row r="52" spans="1:16">
      <c r="B52"/>
      <c r="F52" s="156"/>
      <c r="L52" s="167"/>
      <c r="M52" s="168"/>
      <c r="N52" s="168"/>
      <c r="O52" s="165"/>
      <c r="P52" s="164"/>
    </row>
    <row r="53" spans="1:16" ht="16">
      <c r="A53" s="158" t="s">
        <v>109</v>
      </c>
      <c r="B53" s="159">
        <v>42768.567361111112</v>
      </c>
      <c r="C53" s="158">
        <v>4.0000000000000001E-3</v>
      </c>
      <c r="F53" s="157">
        <f t="shared" ref="F53:F62" si="6" xml:space="preserve"> 0.1519*(C53) - 0.0019</f>
        <v>-1.2924E-3</v>
      </c>
      <c r="G53">
        <f t="shared" ref="G53:G62" si="7">F53/(15/1000)</f>
        <v>-8.616E-2</v>
      </c>
      <c r="L53" s="167" t="s">
        <v>108</v>
      </c>
      <c r="M53" s="166">
        <f>AVERAGE(G53,G58)</f>
        <v>-5.0716666666666674E-2</v>
      </c>
      <c r="N53" s="166">
        <f>STDEV(G53,G58)</f>
        <v>5.012444269571039E-2</v>
      </c>
      <c r="O53" s="165">
        <v>0</v>
      </c>
      <c r="P53" s="164"/>
    </row>
    <row r="54" spans="1:16" ht="16">
      <c r="A54" s="158" t="s">
        <v>107</v>
      </c>
      <c r="B54" s="159">
        <v>42768.568055555559</v>
      </c>
      <c r="C54" s="158">
        <v>2.5999999999999999E-2</v>
      </c>
      <c r="F54" s="157">
        <f t="shared" si="6"/>
        <v>2.0493999999999998E-3</v>
      </c>
      <c r="G54">
        <f t="shared" si="7"/>
        <v>0.13662666666666667</v>
      </c>
      <c r="L54" s="167" t="s">
        <v>106</v>
      </c>
      <c r="M54" s="166">
        <f>AVERAGE(G54,G59)</f>
        <v>0.11637333333333333</v>
      </c>
      <c r="N54" s="166">
        <f>STDEV(G54,G59)</f>
        <v>2.8642538683263084E-2</v>
      </c>
      <c r="O54" s="165">
        <f>M54*0.3</f>
        <v>3.4911999999999999E-2</v>
      </c>
      <c r="P54" s="164"/>
    </row>
    <row r="55" spans="1:16" ht="16">
      <c r="A55" s="158" t="s">
        <v>105</v>
      </c>
      <c r="B55" s="159">
        <v>42768.568749999999</v>
      </c>
      <c r="C55" s="158">
        <v>2.8000000000000001E-2</v>
      </c>
      <c r="F55" s="157">
        <f t="shared" si="6"/>
        <v>2.3532000000000006E-3</v>
      </c>
      <c r="G55">
        <f t="shared" si="7"/>
        <v>0.15688000000000005</v>
      </c>
      <c r="L55" s="167" t="s">
        <v>104</v>
      </c>
      <c r="M55" s="166">
        <f>AVERAGE(G55,G60)</f>
        <v>0.15181666666666671</v>
      </c>
      <c r="N55" s="166">
        <f>STDEV(G55,G60)</f>
        <v>7.1606346708157752E-3</v>
      </c>
      <c r="O55" s="165">
        <f>M55*0.3</f>
        <v>4.5545000000000009E-2</v>
      </c>
      <c r="P55" s="164"/>
    </row>
    <row r="56" spans="1:16" ht="16">
      <c r="A56" s="158" t="s">
        <v>103</v>
      </c>
      <c r="B56" s="159">
        <v>42768.569444444445</v>
      </c>
      <c r="C56" s="158">
        <v>2.7E-2</v>
      </c>
      <c r="F56" s="157">
        <f t="shared" si="6"/>
        <v>2.2013000000000007E-3</v>
      </c>
      <c r="G56">
        <f t="shared" si="7"/>
        <v>0.14675333333333337</v>
      </c>
      <c r="L56" s="167" t="s">
        <v>102</v>
      </c>
      <c r="M56" s="166">
        <f>AVERAGE(G56,G61)</f>
        <v>0.11131000000000003</v>
      </c>
      <c r="N56" s="166">
        <f>STDEV(G56,G61)</f>
        <v>5.0124442695710383E-2</v>
      </c>
      <c r="O56" s="165">
        <f>M56*0.3</f>
        <v>3.3393000000000006E-2</v>
      </c>
      <c r="P56" s="164"/>
    </row>
    <row r="57" spans="1:16" ht="17" thickBot="1">
      <c r="A57" s="158" t="s">
        <v>101</v>
      </c>
      <c r="B57" s="159">
        <v>42768.570138888892</v>
      </c>
      <c r="C57" s="158">
        <v>5.2999999999999999E-2</v>
      </c>
      <c r="F57" s="157">
        <f t="shared" si="6"/>
        <v>6.1507000000000011E-3</v>
      </c>
      <c r="G57">
        <f t="shared" si="7"/>
        <v>0.41004666666666678</v>
      </c>
      <c r="L57" s="163" t="s">
        <v>100</v>
      </c>
      <c r="M57" s="162">
        <f>AVERAGE(G57,G62)</f>
        <v>0.25308333333333338</v>
      </c>
      <c r="N57" s="162">
        <f>STDEV(G57,G62)</f>
        <v>0.22197967479528904</v>
      </c>
      <c r="O57" s="161">
        <f>M57*0.3</f>
        <v>7.5925000000000006E-2</v>
      </c>
      <c r="P57" s="160"/>
    </row>
    <row r="58" spans="1:16" ht="16">
      <c r="A58" s="158" t="s">
        <v>99</v>
      </c>
      <c r="B58" s="159">
        <v>42768.570833333331</v>
      </c>
      <c r="C58" s="158">
        <v>1.0999999999999999E-2</v>
      </c>
      <c r="F58" s="157">
        <f t="shared" si="6"/>
        <v>-2.2910000000000009E-4</v>
      </c>
      <c r="G58">
        <f t="shared" si="7"/>
        <v>-1.527333333333334E-2</v>
      </c>
    </row>
    <row r="59" spans="1:16" ht="16">
      <c r="A59" s="158" t="s">
        <v>98</v>
      </c>
      <c r="B59" s="159">
        <v>42768.571527777778</v>
      </c>
      <c r="C59" s="158">
        <v>2.1999999999999999E-2</v>
      </c>
      <c r="F59" s="157">
        <f t="shared" si="6"/>
        <v>1.4417999999999998E-3</v>
      </c>
      <c r="G59">
        <f t="shared" si="7"/>
        <v>9.6119999999999997E-2</v>
      </c>
    </row>
    <row r="60" spans="1:16" ht="16">
      <c r="A60" s="158" t="s">
        <v>97</v>
      </c>
      <c r="B60" s="159">
        <v>42768.572916666664</v>
      </c>
      <c r="C60" s="158">
        <v>2.7E-2</v>
      </c>
      <c r="F60" s="157">
        <f t="shared" si="6"/>
        <v>2.2013000000000007E-3</v>
      </c>
      <c r="G60">
        <f t="shared" si="7"/>
        <v>0.14675333333333337</v>
      </c>
    </row>
    <row r="61" spans="1:16" ht="16">
      <c r="A61" s="158" t="s">
        <v>96</v>
      </c>
      <c r="B61" s="159">
        <v>42768.572916666664</v>
      </c>
      <c r="C61" s="158">
        <v>0.02</v>
      </c>
      <c r="F61" s="157">
        <f t="shared" si="6"/>
        <v>1.1380000000000003E-3</v>
      </c>
      <c r="G61">
        <f t="shared" si="7"/>
        <v>7.5866666666666693E-2</v>
      </c>
    </row>
    <row r="62" spans="1:16" ht="16">
      <c r="A62" s="158" t="s">
        <v>95</v>
      </c>
      <c r="B62" s="159">
        <v>42768.574305555558</v>
      </c>
      <c r="C62" s="158">
        <v>2.1999999999999999E-2</v>
      </c>
      <c r="F62" s="157">
        <f t="shared" si="6"/>
        <v>1.4417999999999998E-3</v>
      </c>
      <c r="G62">
        <f t="shared" si="7"/>
        <v>9.6119999999999997E-2</v>
      </c>
    </row>
    <row r="63" spans="1:16">
      <c r="B63"/>
      <c r="F63" s="156"/>
    </row>
    <row r="64" spans="1:16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 s="155"/>
    </row>
    <row r="88" spans="2:2">
      <c r="B88" s="155"/>
    </row>
    <row r="89" spans="2:2">
      <c r="B89" s="155"/>
    </row>
    <row r="90" spans="2:2">
      <c r="B90" s="155"/>
    </row>
    <row r="91" spans="2:2">
      <c r="B91" s="155"/>
    </row>
    <row r="92" spans="2:2">
      <c r="B92" s="155"/>
    </row>
    <row r="93" spans="2:2">
      <c r="B93" s="155"/>
    </row>
    <row r="94" spans="2:2">
      <c r="B94" s="155"/>
    </row>
    <row r="95" spans="2:2">
      <c r="B95" s="155"/>
    </row>
    <row r="96" spans="2:2">
      <c r="B96" s="155"/>
    </row>
    <row r="97" spans="2:2">
      <c r="B97" s="155"/>
    </row>
    <row r="98" spans="2:2">
      <c r="B98" s="155"/>
    </row>
    <row r="99" spans="2:2">
      <c r="B99" s="155"/>
    </row>
    <row r="100" spans="2:2">
      <c r="B100" s="155"/>
    </row>
    <row r="101" spans="2:2">
      <c r="B101" s="155"/>
    </row>
    <row r="102" spans="2:2">
      <c r="B102" s="155"/>
    </row>
    <row r="103" spans="2:2">
      <c r="B103" s="155"/>
    </row>
    <row r="104" spans="2:2">
      <c r="B104" s="155"/>
    </row>
    <row r="105" spans="2:2">
      <c r="B105" s="155"/>
    </row>
    <row r="106" spans="2:2">
      <c r="B106" s="155"/>
    </row>
    <row r="107" spans="2:2">
      <c r="B107" s="155"/>
    </row>
    <row r="108" spans="2:2">
      <c r="B108" s="155"/>
    </row>
    <row r="109" spans="2:2">
      <c r="B109" s="155"/>
    </row>
    <row r="110" spans="2:2">
      <c r="B110" s="155"/>
    </row>
    <row r="111" spans="2:2">
      <c r="B111" s="155"/>
    </row>
    <row r="112" spans="2:2">
      <c r="B112" s="155"/>
    </row>
    <row r="113" spans="2:2">
      <c r="B113" s="155"/>
    </row>
    <row r="114" spans="2:2">
      <c r="B114" s="155"/>
    </row>
    <row r="115" spans="2:2">
      <c r="B115" s="155"/>
    </row>
    <row r="116" spans="2:2">
      <c r="B116" s="155"/>
    </row>
    <row r="117" spans="2:2">
      <c r="B117" s="155"/>
    </row>
    <row r="118" spans="2:2">
      <c r="B118" s="155"/>
    </row>
    <row r="119" spans="2:2">
      <c r="B119" s="155"/>
    </row>
    <row r="120" spans="2:2">
      <c r="B120" s="155"/>
    </row>
    <row r="121" spans="2:2">
      <c r="B121" s="155"/>
    </row>
    <row r="122" spans="2:2">
      <c r="B122" s="155"/>
    </row>
    <row r="123" spans="2:2">
      <c r="B123" s="155"/>
    </row>
    <row r="124" spans="2:2">
      <c r="B124" s="155"/>
    </row>
    <row r="125" spans="2:2">
      <c r="B125" s="155"/>
    </row>
    <row r="126" spans="2:2">
      <c r="B126" s="155"/>
    </row>
    <row r="127" spans="2:2">
      <c r="B127" s="155"/>
    </row>
    <row r="128" spans="2:2">
      <c r="B128" s="155"/>
    </row>
    <row r="129" spans="2:2">
      <c r="B129" s="155"/>
    </row>
    <row r="130" spans="2:2">
      <c r="B130" s="155"/>
    </row>
    <row r="131" spans="2:2">
      <c r="B131" s="155"/>
    </row>
    <row r="132" spans="2:2">
      <c r="B132" s="155"/>
    </row>
    <row r="133" spans="2:2">
      <c r="B133" s="155"/>
    </row>
    <row r="134" spans="2:2">
      <c r="B134" s="155"/>
    </row>
    <row r="135" spans="2:2">
      <c r="B135" s="155"/>
    </row>
    <row r="136" spans="2:2">
      <c r="B136" s="155"/>
    </row>
    <row r="137" spans="2:2">
      <c r="B137" s="155"/>
    </row>
    <row r="138" spans="2:2">
      <c r="B138" s="155"/>
    </row>
    <row r="139" spans="2:2">
      <c r="B139" s="155"/>
    </row>
    <row r="140" spans="2:2">
      <c r="B140" s="155"/>
    </row>
    <row r="141" spans="2:2">
      <c r="B141" s="155"/>
    </row>
    <row r="142" spans="2:2">
      <c r="B142" s="155"/>
    </row>
    <row r="143" spans="2:2">
      <c r="B143" s="155"/>
    </row>
    <row r="144" spans="2:2">
      <c r="B144" s="155"/>
    </row>
    <row r="145" spans="2:2">
      <c r="B145" s="155"/>
    </row>
    <row r="146" spans="2:2">
      <c r="B146" s="155"/>
    </row>
    <row r="147" spans="2:2">
      <c r="B147" s="155"/>
    </row>
    <row r="148" spans="2:2">
      <c r="B148" s="155"/>
    </row>
    <row r="149" spans="2:2">
      <c r="B149" s="155"/>
    </row>
    <row r="150" spans="2:2">
      <c r="B150" s="155"/>
    </row>
    <row r="151" spans="2:2">
      <c r="B151" s="155"/>
    </row>
    <row r="152" spans="2:2">
      <c r="B152" s="155"/>
    </row>
    <row r="153" spans="2:2">
      <c r="B153" s="155"/>
    </row>
    <row r="154" spans="2:2">
      <c r="B154" s="155"/>
    </row>
    <row r="155" spans="2:2">
      <c r="B155" s="155"/>
    </row>
    <row r="156" spans="2:2">
      <c r="B156" s="155"/>
    </row>
    <row r="157" spans="2:2">
      <c r="B157" s="155"/>
    </row>
    <row r="158" spans="2:2">
      <c r="B158" s="155"/>
    </row>
    <row r="159" spans="2:2">
      <c r="B159" s="155"/>
    </row>
    <row r="160" spans="2:2">
      <c r="B160" s="155"/>
    </row>
    <row r="161" spans="2:2">
      <c r="B161" s="155"/>
    </row>
    <row r="162" spans="2:2">
      <c r="B162" s="155"/>
    </row>
    <row r="163" spans="2:2">
      <c r="B163" s="155"/>
    </row>
    <row r="164" spans="2:2">
      <c r="B164" s="155"/>
    </row>
    <row r="165" spans="2:2">
      <c r="B165" s="155"/>
    </row>
    <row r="166" spans="2:2">
      <c r="B166" s="155"/>
    </row>
    <row r="167" spans="2:2">
      <c r="B167" s="155"/>
    </row>
    <row r="168" spans="2:2">
      <c r="B168" s="155"/>
    </row>
    <row r="169" spans="2:2">
      <c r="B169" s="155"/>
    </row>
    <row r="170" spans="2:2">
      <c r="B170" s="155"/>
    </row>
    <row r="171" spans="2:2">
      <c r="B171" s="155"/>
    </row>
    <row r="172" spans="2:2">
      <c r="B172" s="155"/>
    </row>
    <row r="173" spans="2:2">
      <c r="B173" s="155"/>
    </row>
    <row r="174" spans="2:2">
      <c r="B174" s="155"/>
    </row>
    <row r="175" spans="2:2">
      <c r="B175" s="155"/>
    </row>
    <row r="176" spans="2:2">
      <c r="B176" s="155"/>
    </row>
    <row r="177" spans="2:2">
      <c r="B177" s="155"/>
    </row>
    <row r="178" spans="2:2">
      <c r="B178" s="155"/>
    </row>
    <row r="179" spans="2:2">
      <c r="B179" s="155"/>
    </row>
    <row r="180" spans="2:2">
      <c r="B180" s="155"/>
    </row>
    <row r="181" spans="2:2">
      <c r="B181" s="155"/>
    </row>
    <row r="182" spans="2:2">
      <c r="B182" s="155"/>
    </row>
    <row r="183" spans="2:2">
      <c r="B183" s="155"/>
    </row>
    <row r="184" spans="2:2">
      <c r="B184" s="155"/>
    </row>
    <row r="185" spans="2:2">
      <c r="B185" s="155"/>
    </row>
    <row r="186" spans="2:2">
      <c r="B186" s="155"/>
    </row>
    <row r="187" spans="2:2">
      <c r="B187" s="155"/>
    </row>
    <row r="188" spans="2:2">
      <c r="B188" s="155"/>
    </row>
    <row r="189" spans="2:2">
      <c r="B189" s="155"/>
    </row>
    <row r="190" spans="2:2">
      <c r="B190" s="155"/>
    </row>
    <row r="191" spans="2:2">
      <c r="B191" s="155"/>
    </row>
    <row r="192" spans="2:2">
      <c r="B192" s="155"/>
    </row>
    <row r="193" spans="2:2">
      <c r="B193" s="155"/>
    </row>
    <row r="194" spans="2:2">
      <c r="B194" s="155"/>
    </row>
    <row r="195" spans="2:2">
      <c r="B195" s="155"/>
    </row>
    <row r="196" spans="2:2">
      <c r="B196" s="155"/>
    </row>
    <row r="197" spans="2:2">
      <c r="B197" s="155"/>
    </row>
    <row r="198" spans="2:2">
      <c r="B198" s="155"/>
    </row>
    <row r="199" spans="2:2">
      <c r="B199" s="155"/>
    </row>
    <row r="200" spans="2:2">
      <c r="B200" s="155"/>
    </row>
    <row r="201" spans="2:2">
      <c r="B201" s="155"/>
    </row>
    <row r="202" spans="2:2">
      <c r="B202" s="155"/>
    </row>
    <row r="203" spans="2:2">
      <c r="B203" s="155"/>
    </row>
    <row r="204" spans="2:2">
      <c r="B204" s="155"/>
    </row>
    <row r="205" spans="2:2">
      <c r="B205" s="155"/>
    </row>
    <row r="206" spans="2:2">
      <c r="B206" s="155"/>
    </row>
    <row r="207" spans="2:2">
      <c r="B207" s="155"/>
    </row>
    <row r="208" spans="2:2">
      <c r="B208" s="155"/>
    </row>
    <row r="209" spans="2:2">
      <c r="B209" s="155"/>
    </row>
    <row r="210" spans="2:2">
      <c r="B210" s="155"/>
    </row>
    <row r="211" spans="2:2">
      <c r="B211" s="155"/>
    </row>
    <row r="212" spans="2:2">
      <c r="B212" s="155"/>
    </row>
    <row r="213" spans="2:2">
      <c r="B213" s="155"/>
    </row>
    <row r="214" spans="2:2">
      <c r="B214" s="155"/>
    </row>
    <row r="215" spans="2:2">
      <c r="B215" s="155"/>
    </row>
    <row r="216" spans="2:2">
      <c r="B216" s="155"/>
    </row>
    <row r="217" spans="2:2">
      <c r="B217" s="155"/>
    </row>
    <row r="218" spans="2:2">
      <c r="B218" s="155"/>
    </row>
    <row r="219" spans="2:2">
      <c r="B219" s="155"/>
    </row>
    <row r="220" spans="2:2">
      <c r="B220" s="155"/>
    </row>
    <row r="221" spans="2:2">
      <c r="B221" s="155"/>
    </row>
    <row r="222" spans="2:2">
      <c r="B222" s="155"/>
    </row>
    <row r="223" spans="2:2">
      <c r="B223" s="155"/>
    </row>
    <row r="224" spans="2:2">
      <c r="B224" s="155"/>
    </row>
    <row r="225" spans="2:2">
      <c r="B225" s="155"/>
    </row>
    <row r="226" spans="2:2">
      <c r="B226" s="155"/>
    </row>
    <row r="227" spans="2:2">
      <c r="B227" s="155"/>
    </row>
    <row r="228" spans="2:2">
      <c r="B228" s="155"/>
    </row>
    <row r="229" spans="2:2">
      <c r="B229" s="155"/>
    </row>
    <row r="230" spans="2:2">
      <c r="B230" s="155"/>
    </row>
    <row r="231" spans="2:2">
      <c r="B231" s="155"/>
    </row>
    <row r="232" spans="2:2">
      <c r="B232" s="155"/>
    </row>
    <row r="233" spans="2:2">
      <c r="B233" s="155"/>
    </row>
    <row r="234" spans="2:2">
      <c r="B234" s="155"/>
    </row>
    <row r="235" spans="2:2">
      <c r="B235" s="155"/>
    </row>
    <row r="236" spans="2:2">
      <c r="B236" s="155"/>
    </row>
    <row r="237" spans="2:2">
      <c r="B237" s="155"/>
    </row>
    <row r="238" spans="2:2">
      <c r="B238" s="155"/>
    </row>
    <row r="239" spans="2:2">
      <c r="B239" s="155"/>
    </row>
    <row r="240" spans="2:2">
      <c r="B240" s="155"/>
    </row>
    <row r="241" spans="2:2">
      <c r="B241" s="155"/>
    </row>
    <row r="242" spans="2:2">
      <c r="B242" s="155"/>
    </row>
    <row r="243" spans="2:2">
      <c r="B243" s="155"/>
    </row>
    <row r="244" spans="2:2">
      <c r="B244" s="155"/>
    </row>
    <row r="245" spans="2:2">
      <c r="B245" s="155"/>
    </row>
    <row r="246" spans="2:2">
      <c r="B246" s="155"/>
    </row>
    <row r="247" spans="2:2">
      <c r="B247" s="155"/>
    </row>
    <row r="248" spans="2:2">
      <c r="B248" s="155"/>
    </row>
    <row r="249" spans="2:2">
      <c r="B249" s="155"/>
    </row>
    <row r="250" spans="2:2">
      <c r="B250" s="155"/>
    </row>
    <row r="251" spans="2:2">
      <c r="B251" s="155"/>
    </row>
    <row r="252" spans="2:2">
      <c r="B252" s="155"/>
    </row>
    <row r="253" spans="2:2">
      <c r="B253" s="155"/>
    </row>
    <row r="254" spans="2:2">
      <c r="B254" s="155"/>
    </row>
    <row r="255" spans="2:2">
      <c r="B255" s="155"/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Chemostat_Summary</vt:lpstr>
      <vt:lpstr>Strain_Summary</vt:lpstr>
      <vt:lpstr>Batch_rates</vt:lpstr>
      <vt:lpstr>Isotope_Data_Summary</vt:lpstr>
      <vt:lpstr>Chemostats_Calcs</vt:lpstr>
      <vt:lpstr>IC_Summary</vt:lpstr>
      <vt:lpstr>Cline_summary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2018-07-19T14:46:01Z</dcterms:created>
  <dcterms:modified xsi:type="dcterms:W3CDTF">2018-11-25T17:51:00Z</dcterms:modified>
</cp:coreProperties>
</file>